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Vasquez Engineering\Projects 2011\613-01 ALDI Rockwall\Storm Calcs\"/>
    </mc:Choice>
  </mc:AlternateContent>
  <bookViews>
    <workbookView minimized="1" xWindow="90" yWindow="15" windowWidth="19005" windowHeight="8055"/>
  </bookViews>
  <sheets>
    <sheet name="Proposed" sheetId="7" r:id="rId1"/>
    <sheet name="PROP DAM " sheetId="6" r:id="rId2"/>
    <sheet name="Inlet Calcs" sheetId="5" r:id="rId3"/>
    <sheet name="EXISTING DAM" sheetId="8" r:id="rId4"/>
    <sheet name="DAM(OLD)" sheetId="2" r:id="rId5"/>
    <sheet name="Proposed (OLD)" sheetId="1" r:id="rId6"/>
  </sheets>
  <definedNames>
    <definedName name="_xlnm.Print_Area" localSheetId="3">'EXISTING DAM'!$B$3:$V$14</definedName>
    <definedName name="_xlnm.Print_Area" localSheetId="2">'Inlet Calcs'!$A$2:$AO$47</definedName>
    <definedName name="_xlnm.Print_Area" localSheetId="0">Proposed!$A$2:$AQ$27</definedName>
    <definedName name="_xlnm.Print_Area" localSheetId="5">'Proposed (OLD)'!$A$2:$AQ$25</definedName>
  </definedNames>
  <calcPr calcId="162913"/>
</workbook>
</file>

<file path=xl/calcChain.xml><?xml version="1.0" encoding="utf-8"?>
<calcChain xmlns="http://schemas.openxmlformats.org/spreadsheetml/2006/main">
  <c r="AK9" i="5" l="1"/>
  <c r="E39" i="7"/>
  <c r="V39" i="7" s="1"/>
  <c r="G39" i="7"/>
  <c r="I39" i="7" s="1"/>
  <c r="N39" i="7"/>
  <c r="W39" i="7"/>
  <c r="X39" i="7"/>
  <c r="E30" i="7"/>
  <c r="V30" i="7" s="1"/>
  <c r="G30" i="7"/>
  <c r="I30" i="7" s="1"/>
  <c r="N30" i="7"/>
  <c r="W30" i="7"/>
  <c r="X30" i="7"/>
  <c r="J39" i="7" l="1"/>
  <c r="P39" i="7"/>
  <c r="R39" i="7" s="1"/>
  <c r="P30" i="7"/>
  <c r="R30" i="7" s="1"/>
  <c r="J30" i="7"/>
  <c r="O29" i="6"/>
  <c r="O6" i="6"/>
  <c r="Y39" i="7" l="1"/>
  <c r="AE39" i="7"/>
  <c r="AE30" i="7"/>
  <c r="AE29" i="7" s="1"/>
  <c r="Y30" i="7"/>
  <c r="J11" i="5"/>
  <c r="J12" i="5"/>
  <c r="J10" i="5"/>
  <c r="AG39" i="7" l="1"/>
  <c r="AJ39" i="7" s="1"/>
  <c r="Z39" i="7"/>
  <c r="AA39" i="7" s="1"/>
  <c r="AG30" i="7"/>
  <c r="AH29" i="7" s="1"/>
  <c r="Z30" i="7"/>
  <c r="AA30" i="7" s="1"/>
  <c r="AE10" i="7"/>
  <c r="D13" i="7"/>
  <c r="G10" i="7"/>
  <c r="G21" i="7"/>
  <c r="G22" i="7" s="1"/>
  <c r="G23" i="7" s="1"/>
  <c r="G24" i="7" s="1"/>
  <c r="G25" i="7" s="1"/>
  <c r="G26" i="7" s="1"/>
  <c r="G27" i="7" s="1"/>
  <c r="AC12" i="6"/>
  <c r="AD12" i="6" s="1"/>
  <c r="O30" i="6"/>
  <c r="O31" i="6"/>
  <c r="AE32" i="6"/>
  <c r="AD34" i="6"/>
  <c r="AD35" i="6"/>
  <c r="AD33" i="6"/>
  <c r="AD7" i="6"/>
  <c r="AD8" i="6"/>
  <c r="AD9" i="6"/>
  <c r="AD10" i="6"/>
  <c r="AD11" i="6"/>
  <c r="AD13" i="6"/>
  <c r="AD14" i="6"/>
  <c r="AD15" i="6"/>
  <c r="AD16" i="6"/>
  <c r="AD17" i="6"/>
  <c r="AD18" i="6"/>
  <c r="AD19" i="6"/>
  <c r="AD20" i="6"/>
  <c r="AD21" i="6"/>
  <c r="AD22" i="6"/>
  <c r="AD23" i="6"/>
  <c r="AD24" i="6"/>
  <c r="AD25" i="6"/>
  <c r="AD26" i="6"/>
  <c r="AD27" i="6"/>
  <c r="AD28" i="6"/>
  <c r="AD6" i="6"/>
  <c r="AB7" i="6"/>
  <c r="AB8" i="6" s="1"/>
  <c r="AB9" i="6" s="1"/>
  <c r="AB10" i="6" s="1"/>
  <c r="AB11" i="6" s="1"/>
  <c r="AB12" i="6" s="1"/>
  <c r="AB13" i="6" s="1"/>
  <c r="AB14" i="6" s="1"/>
  <c r="AB15" i="6" s="1"/>
  <c r="AB16" i="6" s="1"/>
  <c r="AB17" i="6" s="1"/>
  <c r="AB18" i="6" s="1"/>
  <c r="AB19" i="6" s="1"/>
  <c r="AB20" i="6" s="1"/>
  <c r="AB21" i="6" s="1"/>
  <c r="AB22" i="6" s="1"/>
  <c r="AB23" i="6" s="1"/>
  <c r="AB24" i="6" s="1"/>
  <c r="AB25" i="6" s="1"/>
  <c r="AB26" i="6" s="1"/>
  <c r="AB27" i="6" s="1"/>
  <c r="AB28" i="6" s="1"/>
  <c r="W26" i="7"/>
  <c r="W14" i="7"/>
  <c r="X26" i="7"/>
  <c r="X14" i="7"/>
  <c r="AJ30" i="7" l="1"/>
  <c r="AJ29" i="7"/>
  <c r="AD32" i="6"/>
  <c r="N26" i="7"/>
  <c r="I26" i="7"/>
  <c r="P26" i="7" s="1"/>
  <c r="R26" i="7" s="1"/>
  <c r="D25" i="7"/>
  <c r="E25" i="7" s="1"/>
  <c r="D26" i="7"/>
  <c r="E26" i="7" s="1"/>
  <c r="N14" i="7"/>
  <c r="D14" i="7"/>
  <c r="E14" i="7" s="1"/>
  <c r="E13" i="7"/>
  <c r="X31" i="7"/>
  <c r="X33" i="7"/>
  <c r="X34" i="7"/>
  <c r="X35" i="7"/>
  <c r="X36" i="7"/>
  <c r="X37" i="7"/>
  <c r="X38" i="7"/>
  <c r="W31" i="7"/>
  <c r="W33" i="7"/>
  <c r="W34" i="7"/>
  <c r="W35" i="7"/>
  <c r="W36" i="7"/>
  <c r="W37" i="7"/>
  <c r="W38" i="7"/>
  <c r="N31" i="7"/>
  <c r="N33" i="7"/>
  <c r="N34" i="7"/>
  <c r="N35" i="7"/>
  <c r="N36" i="7"/>
  <c r="N37" i="7"/>
  <c r="N38" i="7"/>
  <c r="G31" i="7"/>
  <c r="I31" i="7" s="1"/>
  <c r="G33" i="7"/>
  <c r="I33" i="7" s="1"/>
  <c r="G34" i="7"/>
  <c r="I34" i="7" s="1"/>
  <c r="G35" i="7"/>
  <c r="I35" i="7" s="1"/>
  <c r="G36" i="7"/>
  <c r="I36" i="7" s="1"/>
  <c r="G37" i="7"/>
  <c r="I37" i="7" s="1"/>
  <c r="G38" i="7"/>
  <c r="I38" i="7" s="1"/>
  <c r="E38" i="7"/>
  <c r="V38" i="7" s="1"/>
  <c r="E37" i="7"/>
  <c r="V37" i="7" s="1"/>
  <c r="E36" i="7"/>
  <c r="V36" i="7" s="1"/>
  <c r="E35" i="7"/>
  <c r="V35" i="7" s="1"/>
  <c r="E34" i="7"/>
  <c r="V34" i="7" s="1"/>
  <c r="E33" i="7"/>
  <c r="V33" i="7" s="1"/>
  <c r="E31" i="7"/>
  <c r="V31" i="7" s="1"/>
  <c r="P36" i="7" l="1"/>
  <c r="R36" i="7" s="1"/>
  <c r="J36" i="7"/>
  <c r="J31" i="7"/>
  <c r="P31" i="7"/>
  <c r="R31" i="7" s="1"/>
  <c r="Y31" i="7" s="1"/>
  <c r="P35" i="7"/>
  <c r="R35" i="7" s="1"/>
  <c r="J35" i="7"/>
  <c r="P34" i="7"/>
  <c r="R34" i="7" s="1"/>
  <c r="J34" i="7"/>
  <c r="J33" i="7"/>
  <c r="P33" i="7"/>
  <c r="R33" i="7" s="1"/>
  <c r="P37" i="7"/>
  <c r="R37" i="7" s="1"/>
  <c r="J37" i="7"/>
  <c r="J38" i="7"/>
  <c r="P38" i="7"/>
  <c r="R38" i="7" s="1"/>
  <c r="K12" i="5"/>
  <c r="F9" i="5"/>
  <c r="AE31" i="7" l="1"/>
  <c r="AE35" i="7"/>
  <c r="Y35" i="7"/>
  <c r="AE36" i="7"/>
  <c r="Y36" i="7"/>
  <c r="AE34" i="7"/>
  <c r="Y34" i="7"/>
  <c r="Y33" i="7"/>
  <c r="AE33" i="7"/>
  <c r="AE32" i="7" s="1"/>
  <c r="AE37" i="7"/>
  <c r="Y37" i="7"/>
  <c r="AE38" i="7"/>
  <c r="Y38" i="7"/>
  <c r="G11" i="7"/>
  <c r="I10" i="7"/>
  <c r="P10" i="7" s="1"/>
  <c r="M12" i="5"/>
  <c r="AK12" i="5" s="1"/>
  <c r="AG38" i="7" l="1"/>
  <c r="AJ38" i="7" s="1"/>
  <c r="Z38" i="7"/>
  <c r="AG34" i="7"/>
  <c r="AJ34" i="7" s="1"/>
  <c r="Z34" i="7"/>
  <c r="AG36" i="7"/>
  <c r="AJ36" i="7" s="1"/>
  <c r="Z36" i="7"/>
  <c r="AG37" i="7"/>
  <c r="AJ37" i="7" s="1"/>
  <c r="Z37" i="7"/>
  <c r="AG35" i="7"/>
  <c r="AJ35" i="7" s="1"/>
  <c r="Z35" i="7"/>
  <c r="AG33" i="7"/>
  <c r="Z33" i="7"/>
  <c r="AG31" i="7"/>
  <c r="AJ31" i="7" s="1"/>
  <c r="Z31" i="7"/>
  <c r="R10" i="7"/>
  <c r="Y10" i="7" s="1"/>
  <c r="J10" i="7"/>
  <c r="G12" i="7"/>
  <c r="I11" i="7"/>
  <c r="O7" i="8"/>
  <c r="O8" i="8"/>
  <c r="O9" i="8"/>
  <c r="O10" i="8"/>
  <c r="O11" i="8"/>
  <c r="O6" i="8"/>
  <c r="Z22" i="8"/>
  <c r="Z21" i="8"/>
  <c r="Z20" i="8"/>
  <c r="Z19" i="8"/>
  <c r="Z17" i="8"/>
  <c r="Z16" i="8"/>
  <c r="Z26" i="8"/>
  <c r="Z15" i="8"/>
  <c r="Z13" i="8"/>
  <c r="Z12" i="8"/>
  <c r="Z11" i="8"/>
  <c r="I11" i="8"/>
  <c r="M10" i="8"/>
  <c r="Z9" i="8"/>
  <c r="M9" i="8"/>
  <c r="K9" i="8"/>
  <c r="I9" i="8"/>
  <c r="Z8" i="8"/>
  <c r="K8" i="8"/>
  <c r="I8" i="8"/>
  <c r="Z7" i="8"/>
  <c r="M7" i="8"/>
  <c r="K7" i="8"/>
  <c r="I7" i="8"/>
  <c r="C7" i="8"/>
  <c r="C8" i="8" s="1"/>
  <c r="K6" i="8"/>
  <c r="I6" i="8"/>
  <c r="Z6" i="8"/>
  <c r="W15" i="7"/>
  <c r="X15" i="7"/>
  <c r="N15" i="7"/>
  <c r="N16" i="7"/>
  <c r="N17" i="7"/>
  <c r="N18" i="7"/>
  <c r="N19" i="7"/>
  <c r="D15" i="7"/>
  <c r="E15" i="7" s="1"/>
  <c r="AH67" i="7"/>
  <c r="X67" i="7"/>
  <c r="W67" i="7"/>
  <c r="R67" i="7"/>
  <c r="AE67" i="7" s="1"/>
  <c r="AF66" i="7" s="1"/>
  <c r="AH66" i="7" s="1"/>
  <c r="E67" i="7"/>
  <c r="V67" i="7" s="1"/>
  <c r="AO66" i="7"/>
  <c r="X66" i="7"/>
  <c r="W66" i="7"/>
  <c r="R66" i="7"/>
  <c r="Y66" i="7" s="1"/>
  <c r="D66" i="7"/>
  <c r="E66" i="7" s="1"/>
  <c r="AN27" i="7"/>
  <c r="X27" i="7"/>
  <c r="W27" i="7"/>
  <c r="N27" i="7"/>
  <c r="I27" i="7"/>
  <c r="E27" i="7"/>
  <c r="X25" i="7"/>
  <c r="W25" i="7"/>
  <c r="N25" i="7"/>
  <c r="X24" i="7"/>
  <c r="W24" i="7"/>
  <c r="N24" i="7"/>
  <c r="I24" i="7"/>
  <c r="D24" i="7"/>
  <c r="E24" i="7" s="1"/>
  <c r="X23" i="7"/>
  <c r="W23" i="7"/>
  <c r="N23" i="7"/>
  <c r="I23" i="7"/>
  <c r="P23" i="7" s="1"/>
  <c r="R23" i="7" s="1"/>
  <c r="D23" i="7"/>
  <c r="E23" i="7" s="1"/>
  <c r="X22" i="7"/>
  <c r="W22" i="7"/>
  <c r="N22" i="7"/>
  <c r="I22" i="7"/>
  <c r="P22" i="7" s="1"/>
  <c r="R22" i="7" s="1"/>
  <c r="D22" i="7"/>
  <c r="E22" i="7" s="1"/>
  <c r="X21" i="7"/>
  <c r="W21" i="7"/>
  <c r="N21" i="7"/>
  <c r="I21" i="7"/>
  <c r="J21" i="7" s="1"/>
  <c r="D21" i="7"/>
  <c r="X19" i="7"/>
  <c r="W19" i="7"/>
  <c r="E19" i="7"/>
  <c r="AN19" i="7" s="1"/>
  <c r="AO18" i="7" s="1"/>
  <c r="X18" i="7"/>
  <c r="W18" i="7"/>
  <c r="D18" i="7"/>
  <c r="E18" i="7" s="1"/>
  <c r="AN18" i="7" s="1"/>
  <c r="X17" i="7"/>
  <c r="W17" i="7"/>
  <c r="D17" i="7"/>
  <c r="E17" i="7" s="1"/>
  <c r="X16" i="7"/>
  <c r="W16" i="7"/>
  <c r="D16" i="7"/>
  <c r="E16" i="7" s="1"/>
  <c r="X13" i="7"/>
  <c r="W13" i="7"/>
  <c r="N13" i="7"/>
  <c r="X12" i="7"/>
  <c r="W12" i="7"/>
  <c r="N12" i="7"/>
  <c r="D12" i="7"/>
  <c r="E12" i="7" s="1"/>
  <c r="X11" i="7"/>
  <c r="W11" i="7"/>
  <c r="N11" i="7"/>
  <c r="D11" i="7"/>
  <c r="E11" i="7" s="1"/>
  <c r="X10" i="7"/>
  <c r="W10" i="7"/>
  <c r="Z10" i="7" s="1"/>
  <c r="N10" i="7"/>
  <c r="D10" i="7"/>
  <c r="E10" i="7" s="1"/>
  <c r="C8" i="7"/>
  <c r="D8" i="7" s="1"/>
  <c r="E8" i="7" s="1"/>
  <c r="F8" i="7" s="1"/>
  <c r="G8" i="7" s="1"/>
  <c r="H8" i="7" s="1"/>
  <c r="I8" i="7" s="1"/>
  <c r="J8" i="7" s="1"/>
  <c r="K8" i="7" s="1"/>
  <c r="L8" i="7" s="1"/>
  <c r="M8" i="7" s="1"/>
  <c r="N8" i="7" s="1"/>
  <c r="O8" i="7" s="1"/>
  <c r="P8" i="7" s="1"/>
  <c r="Q8" i="7" s="1"/>
  <c r="R8" i="7" s="1"/>
  <c r="S8" i="7" s="1"/>
  <c r="T8" i="7" s="1"/>
  <c r="U8" i="7" s="1"/>
  <c r="V8" i="7" s="1"/>
  <c r="Y8" i="7" s="1"/>
  <c r="Z8" i="7" s="1"/>
  <c r="AA8" i="7" s="1"/>
  <c r="AB8" i="7" s="1"/>
  <c r="AC8" i="7" s="1"/>
  <c r="AD8" i="7" s="1"/>
  <c r="AE8" i="7" s="1"/>
  <c r="AF8" i="7" s="1"/>
  <c r="AG8" i="7" s="1"/>
  <c r="AH8" i="7" s="1"/>
  <c r="AI8" i="7" s="1"/>
  <c r="AJ8" i="7" s="1"/>
  <c r="AK8" i="7" s="1"/>
  <c r="AL8" i="7" s="1"/>
  <c r="AM8" i="7" s="1"/>
  <c r="AN8" i="7" s="1"/>
  <c r="AO8" i="7" s="1"/>
  <c r="AP8" i="7" s="1"/>
  <c r="O28" i="6"/>
  <c r="O23" i="6"/>
  <c r="O24" i="6"/>
  <c r="O25" i="6"/>
  <c r="O26" i="6"/>
  <c r="O27" i="6"/>
  <c r="M22" i="6"/>
  <c r="Z21" i="6"/>
  <c r="Z20" i="6"/>
  <c r="O20" i="6"/>
  <c r="M20" i="6"/>
  <c r="K20" i="6"/>
  <c r="I20" i="6"/>
  <c r="Z19" i="6"/>
  <c r="M19" i="6"/>
  <c r="K19" i="6"/>
  <c r="I19" i="6"/>
  <c r="O19" i="6"/>
  <c r="Z18" i="6"/>
  <c r="K18" i="6"/>
  <c r="I18" i="6"/>
  <c r="M18" i="6"/>
  <c r="K17" i="6"/>
  <c r="Z26" i="6"/>
  <c r="Z15" i="6"/>
  <c r="M15" i="6"/>
  <c r="K15" i="6"/>
  <c r="I15" i="6"/>
  <c r="O15" i="6"/>
  <c r="M14" i="6"/>
  <c r="K13" i="6"/>
  <c r="M12" i="6"/>
  <c r="Z12" i="6"/>
  <c r="Z11" i="6"/>
  <c r="M11" i="6"/>
  <c r="K11" i="6"/>
  <c r="I11" i="6"/>
  <c r="O11" i="6"/>
  <c r="M10" i="6"/>
  <c r="K9" i="6"/>
  <c r="Z8" i="6"/>
  <c r="Z7" i="6"/>
  <c r="O7" i="6"/>
  <c r="M7" i="6"/>
  <c r="K7" i="6"/>
  <c r="I7" i="6"/>
  <c r="C7" i="6"/>
  <c r="I6" i="6"/>
  <c r="AJ33" i="7" l="1"/>
  <c r="AH32" i="7"/>
  <c r="AJ32" i="7" s="1"/>
  <c r="C8" i="6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P11" i="7"/>
  <c r="R11" i="7" s="1"/>
  <c r="Y11" i="7" s="1"/>
  <c r="J22" i="7"/>
  <c r="J23" i="7" s="1"/>
  <c r="J24" i="7" s="1"/>
  <c r="V66" i="7"/>
  <c r="G13" i="7"/>
  <c r="G14" i="7" s="1"/>
  <c r="G15" i="7" s="1"/>
  <c r="G16" i="7" s="1"/>
  <c r="G17" i="7" s="1"/>
  <c r="G18" i="7" s="1"/>
  <c r="G19" i="7" s="1"/>
  <c r="I12" i="7"/>
  <c r="J11" i="7"/>
  <c r="Z10" i="6"/>
  <c r="AO26" i="7"/>
  <c r="AN26" i="7" s="1"/>
  <c r="P27" i="7"/>
  <c r="R27" i="7" s="1"/>
  <c r="M6" i="6"/>
  <c r="I14" i="6"/>
  <c r="I10" i="6"/>
  <c r="K10" i="6"/>
  <c r="K14" i="6"/>
  <c r="Z14" i="6"/>
  <c r="P21" i="7"/>
  <c r="R21" i="7" s="1"/>
  <c r="P24" i="7"/>
  <c r="R24" i="7" s="1"/>
  <c r="M8" i="6"/>
  <c r="I25" i="7"/>
  <c r="V27" i="7"/>
  <c r="AE66" i="7"/>
  <c r="Z66" i="7" s="1"/>
  <c r="AA66" i="7" s="1"/>
  <c r="M6" i="8"/>
  <c r="M8" i="8"/>
  <c r="I10" i="8"/>
  <c r="Z10" i="8"/>
  <c r="K11" i="8"/>
  <c r="Z14" i="8"/>
  <c r="Z18" i="8"/>
  <c r="Z25" i="8"/>
  <c r="K10" i="8"/>
  <c r="M11" i="8"/>
  <c r="Y26" i="8"/>
  <c r="V19" i="7"/>
  <c r="Y67" i="7"/>
  <c r="AG67" i="7"/>
  <c r="AJ67" i="7" s="1"/>
  <c r="AK67" i="7" s="1"/>
  <c r="Z67" i="7"/>
  <c r="AA67" i="7" s="1"/>
  <c r="AB67" i="7" s="1"/>
  <c r="Z22" i="6"/>
  <c r="O13" i="6"/>
  <c r="O17" i="6"/>
  <c r="Z25" i="6"/>
  <c r="Z6" i="6"/>
  <c r="I9" i="6"/>
  <c r="O12" i="6"/>
  <c r="Z13" i="6"/>
  <c r="Z17" i="6"/>
  <c r="K6" i="6"/>
  <c r="K8" i="6"/>
  <c r="M9" i="6"/>
  <c r="O10" i="6"/>
  <c r="K12" i="6"/>
  <c r="M13" i="6"/>
  <c r="O14" i="6"/>
  <c r="M17" i="6"/>
  <c r="O18" i="6"/>
  <c r="K22" i="6"/>
  <c r="O9" i="6"/>
  <c r="O8" i="6"/>
  <c r="Z9" i="6"/>
  <c r="I13" i="6"/>
  <c r="I17" i="6"/>
  <c r="O22" i="6"/>
  <c r="I8" i="6"/>
  <c r="I12" i="6"/>
  <c r="Z16" i="6"/>
  <c r="I22" i="6"/>
  <c r="AN25" i="1"/>
  <c r="P22" i="1"/>
  <c r="D20" i="1"/>
  <c r="X21" i="1"/>
  <c r="W21" i="1"/>
  <c r="N21" i="1"/>
  <c r="G21" i="1"/>
  <c r="I21" i="1" s="1"/>
  <c r="D21" i="1"/>
  <c r="E21" i="1" s="1"/>
  <c r="P12" i="7" l="1"/>
  <c r="R12" i="7" s="1"/>
  <c r="Y12" i="7" s="1"/>
  <c r="J12" i="7"/>
  <c r="V18" i="7"/>
  <c r="AO17" i="7"/>
  <c r="AN17" i="7" s="1"/>
  <c r="J25" i="7"/>
  <c r="J26" i="7" s="1"/>
  <c r="J27" i="7" s="1"/>
  <c r="I13" i="7"/>
  <c r="AO25" i="7"/>
  <c r="AN25" i="7" s="1"/>
  <c r="V26" i="7"/>
  <c r="AF21" i="7"/>
  <c r="AE22" i="7" s="1"/>
  <c r="P25" i="7"/>
  <c r="R25" i="7" s="1"/>
  <c r="Y21" i="7"/>
  <c r="AG66" i="7"/>
  <c r="AJ66" i="7" s="1"/>
  <c r="AK66" i="7" s="1"/>
  <c r="Z23" i="8"/>
  <c r="AF10" i="7"/>
  <c r="AF11" i="7"/>
  <c r="AD67" i="7"/>
  <c r="Z23" i="6"/>
  <c r="Y26" i="6"/>
  <c r="J21" i="1"/>
  <c r="P13" i="7" l="1"/>
  <c r="R13" i="7" s="1"/>
  <c r="Y13" i="7" s="1"/>
  <c r="J13" i="7"/>
  <c r="Z11" i="7"/>
  <c r="AA11" i="7" s="1"/>
  <c r="AE12" i="7"/>
  <c r="AG12" i="7" s="1"/>
  <c r="AA10" i="7"/>
  <c r="AE11" i="7"/>
  <c r="AG11" i="7" s="1"/>
  <c r="AH21" i="7"/>
  <c r="AK21" i="7" s="1"/>
  <c r="AO24" i="7"/>
  <c r="AN24" i="7" s="1"/>
  <c r="V25" i="7"/>
  <c r="AO16" i="7"/>
  <c r="V17" i="7"/>
  <c r="AF22" i="7"/>
  <c r="AE23" i="7" s="1"/>
  <c r="Y22" i="7"/>
  <c r="AH10" i="7"/>
  <c r="AH11" i="7"/>
  <c r="AG10" i="7"/>
  <c r="AJ10" i="7" s="1"/>
  <c r="Z21" i="7"/>
  <c r="AM67" i="7"/>
  <c r="AC66" i="7"/>
  <c r="AB66" i="7" s="1"/>
  <c r="AD66" i="7" s="1"/>
  <c r="AM66" i="7" s="1"/>
  <c r="AF35" i="7"/>
  <c r="AF36" i="7"/>
  <c r="AG22" i="7"/>
  <c r="AJ22" i="7" s="1"/>
  <c r="AF12" i="7"/>
  <c r="Z7" i="2"/>
  <c r="Z20" i="2"/>
  <c r="Z21" i="2"/>
  <c r="Z12" i="7" l="1"/>
  <c r="AA12" i="7" s="1"/>
  <c r="AE13" i="7"/>
  <c r="AG13" i="7" s="1"/>
  <c r="AH22" i="7"/>
  <c r="AK22" i="7" s="1"/>
  <c r="Z22" i="7"/>
  <c r="AA22" i="7" s="1"/>
  <c r="I14" i="7"/>
  <c r="P14" i="7" s="1"/>
  <c r="R14" i="7" s="1"/>
  <c r="AO23" i="7"/>
  <c r="AN23" i="7" s="1"/>
  <c r="V24" i="7"/>
  <c r="Y24" i="7"/>
  <c r="AF23" i="7"/>
  <c r="AE24" i="7" s="1"/>
  <c r="AG24" i="7" s="1"/>
  <c r="AJ24" i="7" s="1"/>
  <c r="Y23" i="7"/>
  <c r="AH12" i="7"/>
  <c r="AH35" i="7"/>
  <c r="AK35" i="7" s="1"/>
  <c r="AA35" i="7"/>
  <c r="AH36" i="7"/>
  <c r="AK36" i="7" s="1"/>
  <c r="AA36" i="7"/>
  <c r="AN16" i="7"/>
  <c r="AF34" i="7"/>
  <c r="AJ12" i="7"/>
  <c r="AF13" i="7"/>
  <c r="AK10" i="7"/>
  <c r="AJ11" i="7"/>
  <c r="AG23" i="7"/>
  <c r="AJ23" i="7" s="1"/>
  <c r="E6" i="2"/>
  <c r="E8" i="2"/>
  <c r="Z8" i="2" s="1"/>
  <c r="E9" i="2"/>
  <c r="Z9" i="2" s="1"/>
  <c r="E10" i="2"/>
  <c r="Z10" i="2" s="1"/>
  <c r="E11" i="2"/>
  <c r="Z11" i="2" s="1"/>
  <c r="E12" i="2"/>
  <c r="Z12" i="2" s="1"/>
  <c r="E13" i="2"/>
  <c r="Z13" i="2" s="1"/>
  <c r="E14" i="2"/>
  <c r="Z14" i="2" s="1"/>
  <c r="E15" i="2"/>
  <c r="Z15" i="2" s="1"/>
  <c r="E17" i="2"/>
  <c r="Z17" i="2" s="1"/>
  <c r="E18" i="2"/>
  <c r="Z18" i="2" s="1"/>
  <c r="E19" i="2"/>
  <c r="Z19" i="2" s="1"/>
  <c r="E22" i="2"/>
  <c r="Z22" i="2" s="1"/>
  <c r="O22" i="2"/>
  <c r="J14" i="7" l="1"/>
  <c r="Z13" i="7"/>
  <c r="AA13" i="7" s="1"/>
  <c r="AE14" i="7"/>
  <c r="AG14" i="7" s="1"/>
  <c r="AJ14" i="7" s="1"/>
  <c r="Z23" i="7"/>
  <c r="AA23" i="7" s="1"/>
  <c r="AH23" i="7"/>
  <c r="AK23" i="7" s="1"/>
  <c r="I15" i="7"/>
  <c r="P15" i="7" s="1"/>
  <c r="R15" i="7" s="1"/>
  <c r="Y14" i="7"/>
  <c r="AF14" i="7"/>
  <c r="AE15" i="7" s="1"/>
  <c r="AO22" i="7"/>
  <c r="AN22" i="7" s="1"/>
  <c r="V23" i="7"/>
  <c r="V16" i="7"/>
  <c r="AO15" i="7"/>
  <c r="AN15" i="7" s="1"/>
  <c r="Y25" i="7"/>
  <c r="AF24" i="7"/>
  <c r="AE25" i="7" s="1"/>
  <c r="AG25" i="7" s="1"/>
  <c r="AH13" i="7"/>
  <c r="AH34" i="7"/>
  <c r="AK34" i="7" s="1"/>
  <c r="AA34" i="7"/>
  <c r="AK11" i="7"/>
  <c r="AK12" i="7"/>
  <c r="AJ13" i="7"/>
  <c r="Z26" i="2"/>
  <c r="Z16" i="2"/>
  <c r="Z25" i="2"/>
  <c r="Z6" i="2"/>
  <c r="I22" i="2"/>
  <c r="M22" i="2"/>
  <c r="K22" i="2"/>
  <c r="AK13" i="7" l="1"/>
  <c r="J15" i="7"/>
  <c r="Z24" i="7"/>
  <c r="AA24" i="7" s="1"/>
  <c r="AH24" i="7"/>
  <c r="AK24" i="7" s="1"/>
  <c r="Z14" i="7"/>
  <c r="AA14" i="7" s="1"/>
  <c r="AG15" i="7"/>
  <c r="AJ15" i="7" s="1"/>
  <c r="AH14" i="7"/>
  <c r="AK14" i="7" s="1"/>
  <c r="AF27" i="7"/>
  <c r="Y15" i="7"/>
  <c r="AF15" i="7"/>
  <c r="I16" i="7"/>
  <c r="P16" i="7" s="1"/>
  <c r="R16" i="7" s="1"/>
  <c r="AO21" i="7"/>
  <c r="V22" i="7"/>
  <c r="AN21" i="7"/>
  <c r="AO14" i="7"/>
  <c r="AN14" i="7" s="1"/>
  <c r="AO13" i="7" s="1"/>
  <c r="V15" i="7"/>
  <c r="AF25" i="7"/>
  <c r="AF33" i="7"/>
  <c r="Z23" i="2"/>
  <c r="AE26" i="7" l="1"/>
  <c r="AG26" i="7" s="1"/>
  <c r="AJ26" i="7" s="1"/>
  <c r="J16" i="7"/>
  <c r="AF31" i="7"/>
  <c r="AH31" i="7" s="1"/>
  <c r="AK31" i="7" s="1"/>
  <c r="AE16" i="7"/>
  <c r="AG16" i="7" s="1"/>
  <c r="AJ16" i="7" s="1"/>
  <c r="AH25" i="7"/>
  <c r="AK25" i="7" s="1"/>
  <c r="Z25" i="7"/>
  <c r="AA25" i="7" s="1"/>
  <c r="Z15" i="7"/>
  <c r="AA15" i="7" s="1"/>
  <c r="AH15" i="7"/>
  <c r="AK15" i="7" s="1"/>
  <c r="Y16" i="7"/>
  <c r="AF16" i="7"/>
  <c r="AE17" i="7" s="1"/>
  <c r="I17" i="7"/>
  <c r="P17" i="7" s="1"/>
  <c r="R17" i="7" s="1"/>
  <c r="V14" i="7"/>
  <c r="Y26" i="7"/>
  <c r="AF26" i="7"/>
  <c r="AF39" i="7" s="1"/>
  <c r="AH39" i="7" s="1"/>
  <c r="AK39" i="7" s="1"/>
  <c r="AA33" i="7"/>
  <c r="AH33" i="7"/>
  <c r="AK33" i="7" s="1"/>
  <c r="X20" i="1"/>
  <c r="W20" i="1"/>
  <c r="N20" i="1"/>
  <c r="G20" i="1"/>
  <c r="I20" i="1" s="1"/>
  <c r="P20" i="1" s="1"/>
  <c r="G22" i="1"/>
  <c r="G23" i="1"/>
  <c r="X25" i="1"/>
  <c r="W25" i="1"/>
  <c r="N25" i="1"/>
  <c r="E25" i="1"/>
  <c r="X24" i="1"/>
  <c r="W24" i="1"/>
  <c r="N24" i="1"/>
  <c r="D24" i="1"/>
  <c r="E24" i="1" s="1"/>
  <c r="X23" i="1"/>
  <c r="W23" i="1"/>
  <c r="N23" i="1"/>
  <c r="D23" i="1"/>
  <c r="E23" i="1" s="1"/>
  <c r="X22" i="1"/>
  <c r="W22" i="1"/>
  <c r="N22" i="1"/>
  <c r="D22" i="1"/>
  <c r="E22" i="1" s="1"/>
  <c r="G11" i="1"/>
  <c r="AA31" i="7" l="1"/>
  <c r="J17" i="7"/>
  <c r="Y17" i="7"/>
  <c r="AF17" i="7"/>
  <c r="AE18" i="7" s="1"/>
  <c r="I18" i="7"/>
  <c r="I19" i="7"/>
  <c r="Z16" i="7"/>
  <c r="AA16" i="7" s="1"/>
  <c r="AG17" i="7"/>
  <c r="AJ17" i="7" s="1"/>
  <c r="AF37" i="7"/>
  <c r="AH16" i="7"/>
  <c r="AK16" i="7" s="1"/>
  <c r="AN13" i="7"/>
  <c r="AO12" i="7" s="1"/>
  <c r="AE27" i="7"/>
  <c r="AG27" i="7" s="1"/>
  <c r="AJ27" i="7" s="1"/>
  <c r="Y27" i="7"/>
  <c r="Z26" i="7"/>
  <c r="AA26" i="7" s="1"/>
  <c r="AH26" i="7"/>
  <c r="AK26" i="7" s="1"/>
  <c r="AH27" i="7"/>
  <c r="Z27" i="7"/>
  <c r="AA27" i="7" s="1"/>
  <c r="R20" i="1"/>
  <c r="R21" i="1" s="1"/>
  <c r="J20" i="1"/>
  <c r="V25" i="1"/>
  <c r="AO24" i="1"/>
  <c r="AN24" i="1" s="1"/>
  <c r="AO23" i="1" s="1"/>
  <c r="I22" i="1"/>
  <c r="P19" i="7" l="1"/>
  <c r="R19" i="7" s="1"/>
  <c r="AF19" i="7" s="1"/>
  <c r="AF30" i="7" s="1"/>
  <c r="AH30" i="7" s="1"/>
  <c r="AK30" i="7" s="1"/>
  <c r="P18" i="7"/>
  <c r="R18" i="7" s="1"/>
  <c r="AF18" i="7" s="1"/>
  <c r="J18" i="7"/>
  <c r="J19" i="7" s="1"/>
  <c r="AH37" i="7"/>
  <c r="AK37" i="7" s="1"/>
  <c r="AA37" i="7"/>
  <c r="Z17" i="7"/>
  <c r="AA17" i="7" s="1"/>
  <c r="AH17" i="7"/>
  <c r="AK17" i="7" s="1"/>
  <c r="AG18" i="7"/>
  <c r="AJ18" i="7" s="1"/>
  <c r="V13" i="7"/>
  <c r="AN12" i="7"/>
  <c r="AO11" i="7" s="1"/>
  <c r="AK27" i="7"/>
  <c r="R22" i="1"/>
  <c r="R23" i="1" s="1"/>
  <c r="Y21" i="1"/>
  <c r="AF21" i="1"/>
  <c r="J22" i="1"/>
  <c r="Y20" i="1"/>
  <c r="AF20" i="1"/>
  <c r="V24" i="1"/>
  <c r="AN23" i="1"/>
  <c r="AO22" i="1" s="1"/>
  <c r="G24" i="1"/>
  <c r="I23" i="1"/>
  <c r="P23" i="1" s="1"/>
  <c r="K7" i="2"/>
  <c r="I8" i="2"/>
  <c r="K9" i="2"/>
  <c r="I10" i="2"/>
  <c r="I11" i="2"/>
  <c r="I12" i="2"/>
  <c r="I13" i="2"/>
  <c r="I14" i="2"/>
  <c r="I15" i="2"/>
  <c r="I16" i="2"/>
  <c r="I17" i="2"/>
  <c r="I18" i="2"/>
  <c r="K19" i="2"/>
  <c r="I20" i="2"/>
  <c r="M6" i="2"/>
  <c r="C7" i="2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I7" i="2"/>
  <c r="M7" i="2"/>
  <c r="K8" i="2"/>
  <c r="O8" i="2"/>
  <c r="I9" i="2"/>
  <c r="M9" i="2"/>
  <c r="O10" i="2"/>
  <c r="K11" i="2"/>
  <c r="O11" i="2"/>
  <c r="K12" i="2"/>
  <c r="O12" i="2"/>
  <c r="O13" i="2"/>
  <c r="O14" i="2"/>
  <c r="K15" i="2"/>
  <c r="O15" i="2"/>
  <c r="O16" i="2"/>
  <c r="O17" i="2"/>
  <c r="K18" i="2"/>
  <c r="O18" i="2"/>
  <c r="I19" i="2"/>
  <c r="O19" i="2"/>
  <c r="K20" i="2"/>
  <c r="O20" i="2"/>
  <c r="I21" i="2"/>
  <c r="D10" i="1"/>
  <c r="D11" i="1"/>
  <c r="D12" i="1"/>
  <c r="D13" i="1"/>
  <c r="D14" i="1"/>
  <c r="D15" i="1"/>
  <c r="D16" i="1"/>
  <c r="D17" i="1"/>
  <c r="Y19" i="7" l="1"/>
  <c r="Y18" i="7"/>
  <c r="Z18" i="7"/>
  <c r="AA18" i="7" s="1"/>
  <c r="AE19" i="7"/>
  <c r="AG19" i="7" s="1"/>
  <c r="AJ19" i="7" s="1"/>
  <c r="AF38" i="7"/>
  <c r="AA38" i="7" s="1"/>
  <c r="AH18" i="7"/>
  <c r="AK18" i="7" s="1"/>
  <c r="AH19" i="7"/>
  <c r="Z19" i="7"/>
  <c r="AA19" i="7" s="1"/>
  <c r="AB19" i="7" s="1"/>
  <c r="AC30" i="7" s="1"/>
  <c r="AD30" i="7" s="1"/>
  <c r="AN11" i="7"/>
  <c r="AO10" i="7" s="1"/>
  <c r="V12" i="7"/>
  <c r="AH21" i="1"/>
  <c r="Z21" i="1"/>
  <c r="AA21" i="1" s="1"/>
  <c r="AE21" i="1"/>
  <c r="AG21" i="1" s="1"/>
  <c r="AJ21" i="1" s="1"/>
  <c r="K21" i="2"/>
  <c r="M21" i="2"/>
  <c r="K16" i="2"/>
  <c r="AH20" i="1"/>
  <c r="AK20" i="1" s="1"/>
  <c r="Z20" i="1"/>
  <c r="Y23" i="1"/>
  <c r="J23" i="1"/>
  <c r="AF23" i="1"/>
  <c r="AE24" i="1" s="1"/>
  <c r="V23" i="1"/>
  <c r="I25" i="1"/>
  <c r="P25" i="1" s="1"/>
  <c r="I24" i="1"/>
  <c r="P24" i="1" s="1"/>
  <c r="R24" i="1" s="1"/>
  <c r="AF22" i="1"/>
  <c r="AE22" i="1" s="1"/>
  <c r="Y22" i="1"/>
  <c r="O21" i="2"/>
  <c r="Y26" i="2" s="1"/>
  <c r="M19" i="2"/>
  <c r="K17" i="2"/>
  <c r="M17" i="2"/>
  <c r="M15" i="2"/>
  <c r="K14" i="2"/>
  <c r="K13" i="2"/>
  <c r="M13" i="2"/>
  <c r="M11" i="2"/>
  <c r="K10" i="2"/>
  <c r="O9" i="2"/>
  <c r="O7" i="2"/>
  <c r="K6" i="2"/>
  <c r="M20" i="2"/>
  <c r="M18" i="2"/>
  <c r="M16" i="2"/>
  <c r="M14" i="2"/>
  <c r="M12" i="2"/>
  <c r="M10" i="2"/>
  <c r="M8" i="2"/>
  <c r="I6" i="2"/>
  <c r="AB30" i="7" l="1"/>
  <c r="AK19" i="7"/>
  <c r="AD19" i="7" s="1"/>
  <c r="AH38" i="7"/>
  <c r="AK38" i="7" s="1"/>
  <c r="R25" i="1"/>
  <c r="AE25" i="1" s="1"/>
  <c r="AN10" i="7"/>
  <c r="V11" i="7"/>
  <c r="AK21" i="1"/>
  <c r="AN22" i="1"/>
  <c r="AO21" i="1" s="1"/>
  <c r="AF24" i="1"/>
  <c r="Y24" i="1"/>
  <c r="AG22" i="1"/>
  <c r="AJ22" i="1" s="1"/>
  <c r="AH22" i="1"/>
  <c r="Z22" i="1"/>
  <c r="AA22" i="1" s="1"/>
  <c r="AE23" i="1"/>
  <c r="AG23" i="1" s="1"/>
  <c r="AJ23" i="1" s="1"/>
  <c r="J24" i="1"/>
  <c r="J25" i="1" s="1"/>
  <c r="AH23" i="1"/>
  <c r="Z23" i="1"/>
  <c r="AA23" i="1" s="1"/>
  <c r="AG24" i="1"/>
  <c r="AJ24" i="1" s="1"/>
  <c r="K11" i="5"/>
  <c r="U10" i="5"/>
  <c r="AB29" i="7" l="1"/>
  <c r="AM29" i="7" s="1"/>
  <c r="AM30" i="7"/>
  <c r="Y25" i="1"/>
  <c r="V10" i="7"/>
  <c r="AC18" i="7"/>
  <c r="AB18" i="7" s="1"/>
  <c r="AD18" i="7" s="1"/>
  <c r="AM19" i="7"/>
  <c r="M11" i="5"/>
  <c r="AK11" i="5" s="1"/>
  <c r="AN21" i="1"/>
  <c r="AN20" i="1" s="1"/>
  <c r="V22" i="1"/>
  <c r="AK22" i="1"/>
  <c r="AK23" i="1"/>
  <c r="AH24" i="1"/>
  <c r="AK24" i="1" s="1"/>
  <c r="Z24" i="1"/>
  <c r="AA24" i="1" s="1"/>
  <c r="AG25" i="1"/>
  <c r="AJ25" i="1" s="1"/>
  <c r="AC17" i="7" l="1"/>
  <c r="AB17" i="7" s="1"/>
  <c r="AC38" i="7"/>
  <c r="AD38" i="7" s="1"/>
  <c r="AM18" i="7"/>
  <c r="V21" i="1"/>
  <c r="AO20" i="1"/>
  <c r="AH64" i="1"/>
  <c r="X64" i="1"/>
  <c r="W64" i="1"/>
  <c r="R64" i="1"/>
  <c r="AE64" i="1" s="1"/>
  <c r="E64" i="1"/>
  <c r="V64" i="1" s="1"/>
  <c r="AO63" i="1"/>
  <c r="X63" i="1"/>
  <c r="W63" i="1"/>
  <c r="R63" i="1"/>
  <c r="AE63" i="1" s="1"/>
  <c r="D63" i="1"/>
  <c r="E63" i="1" s="1"/>
  <c r="AD17" i="7" l="1"/>
  <c r="AC16" i="7" s="1"/>
  <c r="AB16" i="7" s="1"/>
  <c r="Z63" i="1"/>
  <c r="AA63" i="1" s="1"/>
  <c r="AG63" i="1"/>
  <c r="AJ63" i="1" s="1"/>
  <c r="V63" i="1"/>
  <c r="AG64" i="1"/>
  <c r="AJ64" i="1" s="1"/>
  <c r="AK64" i="1" s="1"/>
  <c r="Z64" i="1"/>
  <c r="AA64" i="1" s="1"/>
  <c r="AB64" i="1" s="1"/>
  <c r="AF63" i="1"/>
  <c r="AH63" i="1" s="1"/>
  <c r="Y63" i="1"/>
  <c r="Y64" i="1"/>
  <c r="AK63" i="1" l="1"/>
  <c r="AM17" i="7"/>
  <c r="AD16" i="7"/>
  <c r="AC15" i="7" s="1"/>
  <c r="AB15" i="7" s="1"/>
  <c r="AC31" i="7" s="1"/>
  <c r="AD31" i="7" s="1"/>
  <c r="AC37" i="7"/>
  <c r="AD37" i="7" s="1"/>
  <c r="AD64" i="1"/>
  <c r="AM64" i="1" s="1"/>
  <c r="AD15" i="7" l="1"/>
  <c r="AC14" i="7" s="1"/>
  <c r="AM16" i="7"/>
  <c r="AC63" i="1"/>
  <c r="AB63" i="1" s="1"/>
  <c r="AD63" i="1" s="1"/>
  <c r="AM63" i="1" s="1"/>
  <c r="AB14" i="7" l="1"/>
  <c r="AM15" i="7"/>
  <c r="AF10" i="5"/>
  <c r="AA10" i="5"/>
  <c r="AT10" i="5" s="1"/>
  <c r="Y10" i="5"/>
  <c r="BE10" i="5"/>
  <c r="AZ10" i="5"/>
  <c r="BA10" i="5"/>
  <c r="AD14" i="7" l="1"/>
  <c r="AC13" i="7" s="1"/>
  <c r="AC27" i="7"/>
  <c r="AB27" i="7" s="1"/>
  <c r="AD27" i="7" s="1"/>
  <c r="AC26" i="7" s="1"/>
  <c r="AB26" i="7" s="1"/>
  <c r="AC39" i="7" s="1"/>
  <c r="AD39" i="7" s="1"/>
  <c r="BD10" i="5"/>
  <c r="AP10" i="5"/>
  <c r="AU10" i="5"/>
  <c r="BC10" i="5"/>
  <c r="AS10" i="5"/>
  <c r="AP9" i="5"/>
  <c r="AQ9" i="5" s="1"/>
  <c r="AR9" i="5" s="1"/>
  <c r="AS9" i="5" s="1"/>
  <c r="AT9" i="5" s="1"/>
  <c r="AU9" i="5" s="1"/>
  <c r="AB39" i="7" l="1"/>
  <c r="AM39" i="7" s="1"/>
  <c r="AM14" i="7"/>
  <c r="AD26" i="7"/>
  <c r="AC25" i="7" s="1"/>
  <c r="AB25" i="7" s="1"/>
  <c r="AM27" i="7"/>
  <c r="AY10" i="5"/>
  <c r="AY9" i="5"/>
  <c r="AZ9" i="5" s="1"/>
  <c r="BA9" i="5" s="1"/>
  <c r="AV9" i="5"/>
  <c r="AW9" i="5" s="1"/>
  <c r="AX9" i="5" s="1"/>
  <c r="AD25" i="7" l="1"/>
  <c r="AC24" i="7" s="1"/>
  <c r="AB24" i="7" s="1"/>
  <c r="AD24" i="7" s="1"/>
  <c r="AM24" i="7" s="1"/>
  <c r="AM26" i="7"/>
  <c r="AB13" i="7"/>
  <c r="AC33" i="7" s="1"/>
  <c r="AD33" i="7" s="1"/>
  <c r="Z10" i="5"/>
  <c r="AC10" i="5" s="1"/>
  <c r="AM25" i="7" l="1"/>
  <c r="AC23" i="7"/>
  <c r="AB23" i="7" s="1"/>
  <c r="AD23" i="7" s="1"/>
  <c r="AC22" i="7" s="1"/>
  <c r="AB22" i="7" s="1"/>
  <c r="AD22" i="7" s="1"/>
  <c r="AM22" i="7" s="1"/>
  <c r="AD13" i="7"/>
  <c r="AC12" i="7" s="1"/>
  <c r="M10" i="5"/>
  <c r="AK10" i="5" s="1"/>
  <c r="K10" i="5"/>
  <c r="V10" i="5"/>
  <c r="H9" i="5"/>
  <c r="I9" i="5" s="1"/>
  <c r="J9" i="5" s="1"/>
  <c r="K9" i="5" s="1"/>
  <c r="L9" i="5" s="1"/>
  <c r="M9" i="5" s="1"/>
  <c r="N9" i="5" s="1"/>
  <c r="O9" i="5" s="1"/>
  <c r="P9" i="5" s="1"/>
  <c r="Q9" i="5" s="1"/>
  <c r="R9" i="5" s="1"/>
  <c r="S9" i="5" s="1"/>
  <c r="T9" i="5" s="1"/>
  <c r="U9" i="5" s="1"/>
  <c r="V9" i="5" s="1"/>
  <c r="Y9" i="5" s="1"/>
  <c r="Z9" i="5" s="1"/>
  <c r="AA9" i="5" s="1"/>
  <c r="AB9" i="5" s="1"/>
  <c r="AC9" i="5" s="1"/>
  <c r="AD9" i="5" s="1"/>
  <c r="AE9" i="5" s="1"/>
  <c r="AF9" i="5" s="1"/>
  <c r="AG9" i="5" s="1"/>
  <c r="AH9" i="5" s="1"/>
  <c r="AI9" i="5" s="1"/>
  <c r="AL9" i="5" s="1"/>
  <c r="AC21" i="7" l="1"/>
  <c r="AD21" i="7" s="1"/>
  <c r="AM23" i="7"/>
  <c r="AB21" i="7"/>
  <c r="AM21" i="7" s="1"/>
  <c r="AB12" i="7"/>
  <c r="AC34" i="7" s="1"/>
  <c r="AD34" i="7" s="1"/>
  <c r="AM13" i="7"/>
  <c r="AW10" i="5"/>
  <c r="AV10" i="5"/>
  <c r="E10" i="1"/>
  <c r="E11" i="1"/>
  <c r="X10" i="1"/>
  <c r="W10" i="1"/>
  <c r="N10" i="1"/>
  <c r="X14" i="1"/>
  <c r="W14" i="1"/>
  <c r="N14" i="1"/>
  <c r="E14" i="1"/>
  <c r="AN14" i="1" s="1"/>
  <c r="E16" i="1"/>
  <c r="N16" i="1"/>
  <c r="W16" i="1"/>
  <c r="X16" i="1"/>
  <c r="AD12" i="7" l="1"/>
  <c r="AC11" i="7" s="1"/>
  <c r="AX10" i="5"/>
  <c r="AD10" i="5" s="1"/>
  <c r="AG10" i="5" s="1"/>
  <c r="AM12" i="7" l="1"/>
  <c r="AB11" i="7"/>
  <c r="V14" i="1"/>
  <c r="AD11" i="7" l="1"/>
  <c r="AC10" i="7" s="1"/>
  <c r="AC35" i="7"/>
  <c r="AD35" i="7" s="1"/>
  <c r="X18" i="1"/>
  <c r="W18" i="1"/>
  <c r="N18" i="1"/>
  <c r="E18" i="1"/>
  <c r="AN18" i="1" s="1"/>
  <c r="X17" i="1"/>
  <c r="W17" i="1"/>
  <c r="N17" i="1"/>
  <c r="E17" i="1"/>
  <c r="X15" i="1"/>
  <c r="W15" i="1"/>
  <c r="N15" i="1"/>
  <c r="E15" i="1"/>
  <c r="X13" i="1"/>
  <c r="W13" i="1"/>
  <c r="N13" i="1"/>
  <c r="E13" i="1"/>
  <c r="AN13" i="1" s="1"/>
  <c r="AO12" i="1" s="1"/>
  <c r="X12" i="1"/>
  <c r="W12" i="1"/>
  <c r="N12" i="1"/>
  <c r="E12" i="1"/>
  <c r="X11" i="1"/>
  <c r="W11" i="1"/>
  <c r="N11" i="1"/>
  <c r="G12" i="1"/>
  <c r="G13" i="1" s="1"/>
  <c r="G14" i="1" s="1"/>
  <c r="G15" i="1" s="1"/>
  <c r="G16" i="1" s="1"/>
  <c r="G17" i="1" s="1"/>
  <c r="G18" i="1" s="1"/>
  <c r="C8" i="1"/>
  <c r="D8" i="1" s="1"/>
  <c r="E8" i="1" s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Y8" i="1" s="1"/>
  <c r="Z8" i="1" s="1"/>
  <c r="AA8" i="1" s="1"/>
  <c r="AB8" i="1" s="1"/>
  <c r="AC8" i="1" s="1"/>
  <c r="AD8" i="1" s="1"/>
  <c r="AE8" i="1" s="1"/>
  <c r="AF8" i="1" s="1"/>
  <c r="AG8" i="1" s="1"/>
  <c r="AH8" i="1" s="1"/>
  <c r="AI8" i="1" s="1"/>
  <c r="AJ8" i="1" s="1"/>
  <c r="AK8" i="1" s="1"/>
  <c r="AL8" i="1" s="1"/>
  <c r="AM8" i="1" s="1"/>
  <c r="AN8" i="1" s="1"/>
  <c r="AO8" i="1" s="1"/>
  <c r="AP8" i="1" s="1"/>
  <c r="AM11" i="7" l="1"/>
  <c r="AB10" i="7"/>
  <c r="AD10" i="7" s="1"/>
  <c r="V18" i="1"/>
  <c r="I10" i="1"/>
  <c r="AC36" i="7" l="1"/>
  <c r="AD36" i="7" s="1"/>
  <c r="J10" i="1"/>
  <c r="P10" i="1"/>
  <c r="AN12" i="1"/>
  <c r="AO11" i="1" s="1"/>
  <c r="AN11" i="1" s="1"/>
  <c r="V11" i="1" s="1"/>
  <c r="AO17" i="1"/>
  <c r="AN17" i="1" s="1"/>
  <c r="V13" i="1"/>
  <c r="I11" i="1"/>
  <c r="P11" i="1" s="1"/>
  <c r="R10" i="1"/>
  <c r="AF10" i="1" s="1"/>
  <c r="AE11" i="1" s="1"/>
  <c r="I14" i="1"/>
  <c r="P14" i="1" s="1"/>
  <c r="I12" i="1"/>
  <c r="P12" i="1" s="1"/>
  <c r="AM10" i="7" l="1"/>
  <c r="V12" i="1"/>
  <c r="AO10" i="1"/>
  <c r="R11" i="1"/>
  <c r="AF11" i="1" s="1"/>
  <c r="AE12" i="1" s="1"/>
  <c r="J11" i="1"/>
  <c r="AO16" i="1"/>
  <c r="AN16" i="1" s="1"/>
  <c r="V17" i="1"/>
  <c r="Z10" i="1"/>
  <c r="J12" i="1"/>
  <c r="R12" i="1"/>
  <c r="AF12" i="1" s="1"/>
  <c r="AE13" i="1" s="1"/>
  <c r="R14" i="1"/>
  <c r="AF14" i="1" s="1"/>
  <c r="AE15" i="1" s="1"/>
  <c r="Y10" i="1"/>
  <c r="AH10" i="1"/>
  <c r="I13" i="1"/>
  <c r="P13" i="1" s="1"/>
  <c r="I16" i="1"/>
  <c r="P16" i="1" s="1"/>
  <c r="AN10" i="1" l="1"/>
  <c r="V10" i="1" s="1"/>
  <c r="Y11" i="1"/>
  <c r="Z11" i="1"/>
  <c r="AA11" i="1" s="1"/>
  <c r="AO15" i="1"/>
  <c r="V16" i="1"/>
  <c r="Z12" i="1"/>
  <c r="AA12" i="1" s="1"/>
  <c r="Z14" i="1"/>
  <c r="AG11" i="1"/>
  <c r="AJ11" i="1" s="1"/>
  <c r="Y12" i="1"/>
  <c r="Y14" i="1"/>
  <c r="R13" i="1"/>
  <c r="AF13" i="1" s="1"/>
  <c r="AE14" i="1" s="1"/>
  <c r="AA10" i="1"/>
  <c r="AG10" i="1"/>
  <c r="AJ10" i="1" s="1"/>
  <c r="AK10" i="1" s="1"/>
  <c r="R16" i="1"/>
  <c r="I15" i="1"/>
  <c r="P15" i="1" s="1"/>
  <c r="AG12" i="1"/>
  <c r="AJ12" i="1" s="1"/>
  <c r="J13" i="1"/>
  <c r="J14" i="1" s="1"/>
  <c r="AN15" i="1" l="1"/>
  <c r="V15" i="1" s="1"/>
  <c r="AF16" i="1"/>
  <c r="AE17" i="1" s="1"/>
  <c r="Z13" i="1"/>
  <c r="AA13" i="1" s="1"/>
  <c r="AH11" i="1"/>
  <c r="AK11" i="1" s="1"/>
  <c r="Y13" i="1"/>
  <c r="R15" i="1"/>
  <c r="AF15" i="1" s="1"/>
  <c r="AA14" i="1"/>
  <c r="AG14" i="1"/>
  <c r="AJ14" i="1" s="1"/>
  <c r="Y16" i="1"/>
  <c r="J15" i="1"/>
  <c r="J16" i="1" s="1"/>
  <c r="I17" i="1"/>
  <c r="P17" i="1" s="1"/>
  <c r="AE16" i="1" l="1"/>
  <c r="AF25" i="1"/>
  <c r="Z16" i="1"/>
  <c r="AA16" i="1" s="1"/>
  <c r="I18" i="1"/>
  <c r="P18" i="1" s="1"/>
  <c r="Y15" i="1"/>
  <c r="AH12" i="1"/>
  <c r="AK12" i="1" s="1"/>
  <c r="R17" i="1"/>
  <c r="AF17" i="1" s="1"/>
  <c r="AE18" i="1" s="1"/>
  <c r="AG13" i="1"/>
  <c r="AJ13" i="1" s="1"/>
  <c r="AH14" i="1"/>
  <c r="AK14" i="1" s="1"/>
  <c r="AH13" i="1"/>
  <c r="AG15" i="1"/>
  <c r="AJ15" i="1" s="1"/>
  <c r="J17" i="1"/>
  <c r="J18" i="1" s="1"/>
  <c r="AH25" i="1" l="1"/>
  <c r="AK25" i="1" s="1"/>
  <c r="Z25" i="1"/>
  <c r="AA25" i="1" s="1"/>
  <c r="R18" i="1"/>
  <c r="AG16" i="1"/>
  <c r="AJ16" i="1" s="1"/>
  <c r="Z15" i="1"/>
  <c r="AA15" i="1" s="1"/>
  <c r="AK13" i="1"/>
  <c r="Y17" i="1"/>
  <c r="AF18" i="1" l="1"/>
  <c r="AH18" i="1" s="1"/>
  <c r="Y18" i="1"/>
  <c r="AG17" i="1"/>
  <c r="AJ17" i="1" s="1"/>
  <c r="AH15" i="1"/>
  <c r="AK15" i="1" s="1"/>
  <c r="Z18" i="1" l="1"/>
  <c r="AH16" i="1" l="1"/>
  <c r="AK16" i="1" s="1"/>
  <c r="AA18" i="1" l="1"/>
  <c r="AB18" i="1" s="1"/>
  <c r="Z17" i="1" l="1"/>
  <c r="AA17" i="1" s="1"/>
  <c r="AG18" i="1"/>
  <c r="AJ18" i="1" s="1"/>
  <c r="AK18" i="1" s="1"/>
  <c r="AD18" i="1" s="1"/>
  <c r="AM18" i="1" s="1"/>
  <c r="AH17" i="1"/>
  <c r="AK17" i="1" s="1"/>
  <c r="AC17" i="1" l="1"/>
  <c r="AB17" i="1" s="1"/>
  <c r="AD17" i="1" s="1"/>
  <c r="AC16" i="1" s="1"/>
  <c r="AB16" i="1" s="1"/>
  <c r="AD16" i="1" s="1"/>
  <c r="AC15" i="1" s="1"/>
  <c r="AM17" i="1" l="1"/>
  <c r="AB15" i="1"/>
  <c r="AD15" i="1" s="1"/>
  <c r="AM16" i="1"/>
  <c r="AC14" i="1" l="1"/>
  <c r="AB14" i="1" s="1"/>
  <c r="AD14" i="1" s="1"/>
  <c r="AC13" i="1" s="1"/>
  <c r="AB13" i="1" s="1"/>
  <c r="AD13" i="1" s="1"/>
  <c r="AC12" i="1" s="1"/>
  <c r="AC25" i="1"/>
  <c r="AB25" i="1" s="1"/>
  <c r="AD25" i="1" s="1"/>
  <c r="AM15" i="1"/>
  <c r="AM14" i="1" l="1"/>
  <c r="AM25" i="1"/>
  <c r="AC24" i="1"/>
  <c r="AB24" i="1" s="1"/>
  <c r="AD24" i="1" s="1"/>
  <c r="AM13" i="1"/>
  <c r="AB12" i="1"/>
  <c r="AD12" i="1" s="1"/>
  <c r="AC11" i="1" s="1"/>
  <c r="AM24" i="1" l="1"/>
  <c r="AC23" i="1"/>
  <c r="AB23" i="1" s="1"/>
  <c r="AD23" i="1" s="1"/>
  <c r="AB11" i="1"/>
  <c r="AD11" i="1" s="1"/>
  <c r="AC10" i="1" s="1"/>
  <c r="AM12" i="1"/>
  <c r="AM23" i="1" l="1"/>
  <c r="AC22" i="1"/>
  <c r="AB22" i="1" s="1"/>
  <c r="AD22" i="1" s="1"/>
  <c r="AC21" i="1" s="1"/>
  <c r="AB21" i="1" s="1"/>
  <c r="AD21" i="1" s="1"/>
  <c r="AM21" i="1" s="1"/>
  <c r="AB10" i="1"/>
  <c r="AD10" i="1" s="1"/>
  <c r="AM11" i="1"/>
  <c r="AM22" i="1" l="1"/>
  <c r="AC20" i="1"/>
  <c r="AD20" i="1" s="1"/>
  <c r="AB20" i="1"/>
  <c r="AM20" i="1" s="1"/>
  <c r="AM10" i="1"/>
  <c r="AB31" i="7"/>
  <c r="AM31" i="7" s="1"/>
  <c r="AB33" i="7"/>
  <c r="AB36" i="7"/>
  <c r="AM36" i="7" s="1"/>
  <c r="AB38" i="7"/>
  <c r="AM38" i="7" s="1"/>
  <c r="AB37" i="7"/>
  <c r="AM37" i="7" s="1"/>
  <c r="AB34" i="7"/>
  <c r="AM34" i="7" s="1"/>
  <c r="AB35" i="7"/>
  <c r="AM35" i="7" s="1"/>
  <c r="AB32" i="7" l="1"/>
  <c r="AM32" i="7" s="1"/>
  <c r="AM33" i="7"/>
</calcChain>
</file>

<file path=xl/sharedStrings.xml><?xml version="1.0" encoding="utf-8"?>
<sst xmlns="http://schemas.openxmlformats.org/spreadsheetml/2006/main" count="651" uniqueCount="218">
  <si>
    <t>Drainage Area</t>
  </si>
  <si>
    <t>in/hr</t>
  </si>
  <si>
    <t>cfs</t>
  </si>
  <si>
    <t>ft/ft</t>
  </si>
  <si>
    <t>ft/sec</t>
  </si>
  <si>
    <t>HYDRAULIC COMPUTATIONS FOR STORM DRAINS</t>
  </si>
  <si>
    <t>COMPUTATION SHEET</t>
  </si>
  <si>
    <t>LINE SD-1</t>
  </si>
  <si>
    <t>Design Point ID</t>
  </si>
  <si>
    <t>Upstream Location (Design Point)</t>
  </si>
  <si>
    <t>Downstream Location</t>
  </si>
  <si>
    <t>Distance</t>
  </si>
  <si>
    <t>sta</t>
  </si>
  <si>
    <t>ft</t>
  </si>
  <si>
    <t>acres</t>
  </si>
  <si>
    <t>Runoff Coefficient "C"</t>
  </si>
  <si>
    <t>Incremental "CA"</t>
  </si>
  <si>
    <t>Total "CA"</t>
  </si>
  <si>
    <t>Total Drainage          Area "A"</t>
  </si>
  <si>
    <t>Rainfall Intensity</t>
  </si>
  <si>
    <t>Design Flood</t>
  </si>
  <si>
    <t>years</t>
  </si>
  <si>
    <t>min</t>
  </si>
  <si>
    <t>Inlet Time</t>
  </si>
  <si>
    <t>Travel Time in Conduit</t>
  </si>
  <si>
    <t>Time of Cencentration</t>
  </si>
  <si>
    <t>Rainfall Intensity "I"</t>
  </si>
  <si>
    <t>Design Flow</t>
  </si>
  <si>
    <t>Pipe Discharge "Q"</t>
  </si>
  <si>
    <t>Inlet Bypass "Q"</t>
  </si>
  <si>
    <t>Design Conduit</t>
  </si>
  <si>
    <t>No. of Conduits</t>
  </si>
  <si>
    <t>Span Box Culvert</t>
  </si>
  <si>
    <t>Pipe Diameter        (Culvert Rise)</t>
  </si>
  <si>
    <t>Slope of Conduit</t>
  </si>
  <si>
    <t>Friction Loss</t>
  </si>
  <si>
    <t>Friction Slope (Sf)</t>
  </si>
  <si>
    <t>Hydraulic Grade Line</t>
  </si>
  <si>
    <t>Upstream HGL          Elevation</t>
  </si>
  <si>
    <t>Downstream HGL          Elevation</t>
  </si>
  <si>
    <t>Design Point    Elevation</t>
  </si>
  <si>
    <t>Velocity</t>
  </si>
  <si>
    <t>Minor Loss</t>
  </si>
  <si>
    <t>Minor Loss         Coefficient K</t>
  </si>
  <si>
    <t>Total Minor Loss</t>
  </si>
  <si>
    <t>Ground/HGL Elev</t>
  </si>
  <si>
    <t>Upstream Ground     Elev (Top of Curb)</t>
  </si>
  <si>
    <t>Elev Difference        Ground-HGL</t>
  </si>
  <si>
    <t>Upstream Pipe Flowline</t>
  </si>
  <si>
    <t>Downstream Pipe Flowline</t>
  </si>
  <si>
    <t>Comments</t>
  </si>
  <si>
    <t>A</t>
  </si>
  <si>
    <t>B</t>
  </si>
  <si>
    <t>C</t>
  </si>
  <si>
    <t>hydraulic radius R</t>
  </si>
  <si>
    <t>-</t>
  </si>
  <si>
    <t>in (ft)</t>
  </si>
  <si>
    <t>S</t>
  </si>
  <si>
    <r>
      <t>Upstream          Velocity (V</t>
    </r>
    <r>
      <rPr>
        <sz val="9"/>
        <color theme="1"/>
        <rFont val="Arial"/>
        <family val="2"/>
      </rPr>
      <t>1</t>
    </r>
    <r>
      <rPr>
        <sz val="12"/>
        <color theme="1"/>
        <rFont val="Arial"/>
        <family val="2"/>
      </rPr>
      <t>)</t>
    </r>
  </si>
  <si>
    <r>
      <t>Downstream          Velocity (V</t>
    </r>
    <r>
      <rPr>
        <sz val="9"/>
        <color theme="1"/>
        <rFont val="Arial"/>
        <family val="2"/>
      </rPr>
      <t>2</t>
    </r>
    <r>
      <rPr>
        <sz val="12"/>
        <color theme="1"/>
        <rFont val="Arial"/>
        <family val="2"/>
      </rPr>
      <t>)</t>
    </r>
  </si>
  <si>
    <r>
      <t>Upstream Velocity      Head (V</t>
    </r>
    <r>
      <rPr>
        <vertAlign val="subscript"/>
        <sz val="12"/>
        <color theme="1"/>
        <rFont val="Arial"/>
        <family val="2"/>
      </rPr>
      <t>1</t>
    </r>
    <r>
      <rPr>
        <vertAlign val="super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/2g)</t>
    </r>
  </si>
  <si>
    <r>
      <t>Downstream Velocity              Head (V</t>
    </r>
    <r>
      <rPr>
        <vertAlign val="subscript"/>
        <sz val="12"/>
        <color theme="1"/>
        <rFont val="Arial"/>
        <family val="2"/>
      </rPr>
      <t>2</t>
    </r>
    <r>
      <rPr>
        <vertAlign val="super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/2g)</t>
    </r>
  </si>
  <si>
    <r>
      <t>K (V</t>
    </r>
    <r>
      <rPr>
        <vertAlign val="subscript"/>
        <sz val="12"/>
        <color theme="1"/>
        <rFont val="Arial"/>
        <family val="2"/>
      </rPr>
      <t>1</t>
    </r>
    <r>
      <rPr>
        <vertAlign val="super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/2g)</t>
    </r>
  </si>
  <si>
    <t>W</t>
  </si>
  <si>
    <t>Q Release Max, 30d Bend</t>
  </si>
  <si>
    <t>Q Release Max, Pond Outlet</t>
  </si>
  <si>
    <t>Station</t>
  </si>
  <si>
    <t>Intensity "I"</t>
  </si>
  <si>
    <t>Area "A"</t>
  </si>
  <si>
    <t>Gutter or ROW Capacity</t>
  </si>
  <si>
    <t>Weir (W)        Orifice (O) Flow</t>
  </si>
  <si>
    <t>Sag Depth</t>
  </si>
  <si>
    <t>Section              Parabolic (P)             Straight (S)</t>
  </si>
  <si>
    <r>
      <t>Longitunal Slope "S</t>
    </r>
    <r>
      <rPr>
        <sz val="8"/>
        <color theme="1"/>
        <rFont val="Arial"/>
        <family val="2"/>
      </rPr>
      <t>L</t>
    </r>
    <r>
      <rPr>
        <sz val="12"/>
        <color theme="1"/>
        <rFont val="Arial"/>
        <family val="2"/>
      </rPr>
      <t>"</t>
    </r>
  </si>
  <si>
    <r>
      <t>Total Flow                   to Inlet                    "Q</t>
    </r>
    <r>
      <rPr>
        <sz val="8"/>
        <color theme="1"/>
        <rFont val="Arial"/>
        <family val="2"/>
      </rPr>
      <t>T</t>
    </r>
    <r>
      <rPr>
        <sz val="12"/>
        <color theme="1"/>
        <rFont val="Arial"/>
        <family val="2"/>
      </rPr>
      <t>"</t>
    </r>
  </si>
  <si>
    <r>
      <t>Carryover Flow                   to Inlet                    "Q</t>
    </r>
    <r>
      <rPr>
        <sz val="8"/>
        <color theme="1"/>
        <rFont val="Arial"/>
        <family val="2"/>
      </rPr>
      <t>CO</t>
    </r>
    <r>
      <rPr>
        <sz val="12"/>
        <color theme="1"/>
        <rFont val="Arial"/>
        <family val="2"/>
      </rPr>
      <t>"</t>
    </r>
  </si>
  <si>
    <r>
      <t>Pipe "Q</t>
    </r>
    <r>
      <rPr>
        <sz val="8"/>
        <color theme="1"/>
        <rFont val="Arial"/>
        <family val="2"/>
      </rPr>
      <t>P</t>
    </r>
    <r>
      <rPr>
        <sz val="12"/>
        <color theme="1"/>
        <rFont val="Arial"/>
        <family val="2"/>
      </rPr>
      <t>"</t>
    </r>
  </si>
  <si>
    <r>
      <t>Street "Q</t>
    </r>
    <r>
      <rPr>
        <sz val="8"/>
        <color theme="1"/>
        <rFont val="Arial"/>
        <family val="2"/>
      </rPr>
      <t>S</t>
    </r>
    <r>
      <rPr>
        <sz val="12"/>
        <color theme="1"/>
        <rFont val="Arial"/>
        <family val="2"/>
      </rPr>
      <t>"</t>
    </r>
  </si>
  <si>
    <r>
      <t>Cross Slope "S</t>
    </r>
    <r>
      <rPr>
        <sz val="8"/>
        <color theme="1"/>
        <rFont val="Arial"/>
        <family val="2"/>
      </rPr>
      <t>X</t>
    </r>
    <r>
      <rPr>
        <sz val="12"/>
        <color theme="1"/>
        <rFont val="Arial"/>
        <family val="2"/>
      </rPr>
      <t>"</t>
    </r>
  </si>
  <si>
    <t>Top Width "T"</t>
  </si>
  <si>
    <t>Depth "d"</t>
  </si>
  <si>
    <t>Crown Height</t>
  </si>
  <si>
    <t>Conveyance "K"</t>
  </si>
  <si>
    <r>
      <t>Calculated Cross Slope "S</t>
    </r>
    <r>
      <rPr>
        <sz val="8"/>
        <color theme="1"/>
        <rFont val="Arial"/>
        <family val="2"/>
      </rPr>
      <t>X</t>
    </r>
    <r>
      <rPr>
        <sz val="12"/>
        <color theme="1"/>
        <rFont val="Arial"/>
        <family val="2"/>
      </rPr>
      <t>"</t>
    </r>
  </si>
  <si>
    <r>
      <t>E</t>
    </r>
    <r>
      <rPr>
        <sz val="8"/>
        <color theme="1"/>
        <rFont val="Arial"/>
        <family val="2"/>
      </rPr>
      <t>O</t>
    </r>
  </si>
  <si>
    <t>a</t>
  </si>
  <si>
    <r>
      <t>S</t>
    </r>
    <r>
      <rPr>
        <sz val="8"/>
        <color theme="1"/>
        <rFont val="Arial"/>
        <family val="2"/>
      </rPr>
      <t>E</t>
    </r>
  </si>
  <si>
    <r>
      <t>L</t>
    </r>
    <r>
      <rPr>
        <sz val="8"/>
        <color theme="1"/>
        <rFont val="Arial"/>
        <family val="2"/>
      </rPr>
      <t>R</t>
    </r>
  </si>
  <si>
    <r>
      <t>L</t>
    </r>
    <r>
      <rPr>
        <sz val="8"/>
        <color theme="1"/>
        <rFont val="Arial"/>
        <family val="2"/>
      </rPr>
      <t>A</t>
    </r>
  </si>
  <si>
    <r>
      <t>Flow Intercept by Inlet "Q</t>
    </r>
    <r>
      <rPr>
        <sz val="8"/>
        <color theme="1"/>
        <rFont val="Arial"/>
        <family val="2"/>
      </rPr>
      <t>I</t>
    </r>
    <r>
      <rPr>
        <sz val="12"/>
        <color theme="1"/>
        <rFont val="Arial"/>
        <family val="2"/>
      </rPr>
      <t>"</t>
    </r>
  </si>
  <si>
    <r>
      <t>Inlet Bypass Flow/Carryover "Q</t>
    </r>
    <r>
      <rPr>
        <sz val="8"/>
        <color theme="1"/>
        <rFont val="Arial"/>
        <family val="2"/>
      </rPr>
      <t>CO</t>
    </r>
    <r>
      <rPr>
        <sz val="12"/>
        <color theme="1"/>
        <rFont val="Arial"/>
        <family val="2"/>
      </rPr>
      <t>"</t>
    </r>
  </si>
  <si>
    <t>Inlet Flow Bypass to Design Point</t>
  </si>
  <si>
    <t>INLET</t>
  </si>
  <si>
    <t>STORM</t>
  </si>
  <si>
    <t>DRAINAGE AREA CHARACTERISTICS</t>
  </si>
  <si>
    <t>FLOW</t>
  </si>
  <si>
    <t>SAG INLET</t>
  </si>
  <si>
    <t>GRADE</t>
  </si>
  <si>
    <t>STREET TYPE</t>
  </si>
  <si>
    <t>STRAIGHT SLOPE STREETS</t>
  </si>
  <si>
    <t>PARABOLIC CROWN STREETS</t>
  </si>
  <si>
    <t>EQUIVALENT CROSS SLOPE</t>
  </si>
  <si>
    <t>INLET LENGTH</t>
  </si>
  <si>
    <t>Sectoin Width          (B-B)</t>
  </si>
  <si>
    <t>in</t>
  </si>
  <si>
    <t>Depressed Gutter Section "Aw"</t>
  </si>
  <si>
    <t>sq ft</t>
  </si>
  <si>
    <t>Width of Depressed Inlet "W"</t>
  </si>
  <si>
    <t>Depth of Depression at Inlet</t>
  </si>
  <si>
    <t>Wetted Perimeter Depressed Section "PW"</t>
  </si>
  <si>
    <t>Area Beyond the Depression "Ao"</t>
  </si>
  <si>
    <t>Wetted Perimeter Beyon Depression "Po"</t>
  </si>
  <si>
    <t>Type                   "S"=Sag                  "G"=On Grade</t>
  </si>
  <si>
    <t>Parabolic Street             y</t>
  </si>
  <si>
    <t>Parabolic Street            H</t>
  </si>
  <si>
    <t>Parabolic Street             B</t>
  </si>
  <si>
    <t>x</t>
  </si>
  <si>
    <t>b</t>
  </si>
  <si>
    <t>PARABOLIC SECTIONS</t>
  </si>
  <si>
    <t>CROWN HEIGTH</t>
  </si>
  <si>
    <t>Conveyance Beyond Depression                    Ko</t>
  </si>
  <si>
    <t>Conveyance in Depression Area                    Kw</t>
  </si>
  <si>
    <t>Ratio of Depressed Flow                             Eo</t>
  </si>
  <si>
    <t>INLET CALCULATIONS (100-YR)</t>
  </si>
  <si>
    <t>Storm Line</t>
  </si>
  <si>
    <t xml:space="preserve">DRAINAGE AREA </t>
  </si>
  <si>
    <t>SQUARE FEET</t>
  </si>
  <si>
    <t>AREA (Acres)</t>
  </si>
  <si>
    <t>Tc           (Min)</t>
  </si>
  <si>
    <r>
      <t>I</t>
    </r>
    <r>
      <rPr>
        <sz val="10"/>
        <color indexed="8"/>
        <rFont val="Arial Narrow"/>
        <family val="2"/>
      </rPr>
      <t>2</t>
    </r>
    <r>
      <rPr>
        <sz val="12"/>
        <color indexed="8"/>
        <rFont val="Arial Narrow"/>
        <family val="2"/>
      </rPr>
      <t xml:space="preserve">             (in/hr)</t>
    </r>
  </si>
  <si>
    <r>
      <t>Q</t>
    </r>
    <r>
      <rPr>
        <sz val="10"/>
        <color indexed="8"/>
        <rFont val="Arial Narrow"/>
        <family val="2"/>
      </rPr>
      <t>2</t>
    </r>
    <r>
      <rPr>
        <sz val="12"/>
        <color indexed="8"/>
        <rFont val="Arial Narrow"/>
        <family val="2"/>
      </rPr>
      <t xml:space="preserve">             (cfs)</t>
    </r>
  </si>
  <si>
    <r>
      <t>I</t>
    </r>
    <r>
      <rPr>
        <sz val="10"/>
        <color indexed="8"/>
        <rFont val="Arial Narrow"/>
        <family val="2"/>
      </rPr>
      <t>10</t>
    </r>
    <r>
      <rPr>
        <sz val="12"/>
        <color indexed="8"/>
        <rFont val="Arial Narrow"/>
        <family val="2"/>
      </rPr>
      <t xml:space="preserve">             (in/hr)</t>
    </r>
  </si>
  <si>
    <r>
      <t>Q</t>
    </r>
    <r>
      <rPr>
        <sz val="10"/>
        <color indexed="8"/>
        <rFont val="Arial Narrow"/>
        <family val="2"/>
      </rPr>
      <t>10</t>
    </r>
    <r>
      <rPr>
        <sz val="12"/>
        <color indexed="8"/>
        <rFont val="Arial Narrow"/>
        <family val="2"/>
      </rPr>
      <t xml:space="preserve">             (cfs)</t>
    </r>
  </si>
  <si>
    <r>
      <t>I</t>
    </r>
    <r>
      <rPr>
        <sz val="10"/>
        <color indexed="8"/>
        <rFont val="Arial Narrow"/>
        <family val="2"/>
      </rPr>
      <t>25</t>
    </r>
    <r>
      <rPr>
        <sz val="12"/>
        <color indexed="8"/>
        <rFont val="Arial Narrow"/>
        <family val="2"/>
      </rPr>
      <t xml:space="preserve">             (in/hr)</t>
    </r>
  </si>
  <si>
    <r>
      <t>Q</t>
    </r>
    <r>
      <rPr>
        <sz val="10"/>
        <color indexed="8"/>
        <rFont val="Arial Narrow"/>
        <family val="2"/>
      </rPr>
      <t>25</t>
    </r>
    <r>
      <rPr>
        <sz val="12"/>
        <color indexed="8"/>
        <rFont val="Arial Narrow"/>
        <family val="2"/>
      </rPr>
      <t xml:space="preserve">             (cfs)</t>
    </r>
  </si>
  <si>
    <r>
      <t>I</t>
    </r>
    <r>
      <rPr>
        <sz val="10"/>
        <color indexed="8"/>
        <rFont val="Arial Narrow"/>
        <family val="2"/>
      </rPr>
      <t>100</t>
    </r>
    <r>
      <rPr>
        <sz val="12"/>
        <color indexed="8"/>
        <rFont val="Arial Narrow"/>
        <family val="2"/>
      </rPr>
      <t xml:space="preserve">             (in/hr)</t>
    </r>
  </si>
  <si>
    <r>
      <t>Q</t>
    </r>
    <r>
      <rPr>
        <sz val="10"/>
        <color indexed="8"/>
        <rFont val="Arial Narrow"/>
        <family val="2"/>
      </rPr>
      <t>100</t>
    </r>
    <r>
      <rPr>
        <sz val="12"/>
        <color indexed="8"/>
        <rFont val="Arial Narrow"/>
        <family val="2"/>
      </rPr>
      <t xml:space="preserve">             (cfs)</t>
    </r>
  </si>
  <si>
    <t>Design Point</t>
  </si>
  <si>
    <t>COMMENT</t>
  </si>
  <si>
    <t xml:space="preserve">              Detention Pond</t>
  </si>
  <si>
    <t xml:space="preserve">              15' Std Curb Inlet</t>
  </si>
  <si>
    <t xml:space="preserve">              10' Std Curb Inlet</t>
  </si>
  <si>
    <t xml:space="preserve">              Future Building</t>
  </si>
  <si>
    <t xml:space="preserve">              Off-site North to Alley</t>
  </si>
  <si>
    <t xml:space="preserve">              Dalton Road channel West</t>
  </si>
  <si>
    <t xml:space="preserve">              Dalton Road channel East to Ex Inlet</t>
  </si>
  <si>
    <t xml:space="preserve">              SH 205 North channel to Ex Inlet</t>
  </si>
  <si>
    <t xml:space="preserve">              SH 205 North in Roadside Channel</t>
  </si>
  <si>
    <t>45d BEND</t>
  </si>
  <si>
    <t>36x18 WYE</t>
  </si>
  <si>
    <t>24x18 WYE</t>
  </si>
  <si>
    <t>18" 30d BEND</t>
  </si>
  <si>
    <t>18x18 60d WYE</t>
  </si>
  <si>
    <t>27x18 WYE</t>
  </si>
  <si>
    <t>INLET LOSS</t>
  </si>
  <si>
    <t>LINE SD-2</t>
  </si>
  <si>
    <t xml:space="preserve">              Future 10' Std Curb Inlet</t>
  </si>
  <si>
    <t xml:space="preserve">              18" RCP Lateral</t>
  </si>
  <si>
    <t xml:space="preserve">              Swale to Detention Pomd</t>
  </si>
  <si>
    <t xml:space="preserve">              Swale to Detention Pond</t>
  </si>
  <si>
    <t>EX BYPASS</t>
  </si>
  <si>
    <t>TO POND</t>
  </si>
  <si>
    <t xml:space="preserve">Design Runoff "Q"                        </t>
  </si>
  <si>
    <t>END PIPE</t>
  </si>
  <si>
    <t>PROPOSED STORM WATER RUNOFF DATA</t>
  </si>
  <si>
    <t xml:space="preserve">Note: 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</si>
  <si>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Reference "Nebbie Williams Elementary School" Plans, Sht C2.5, Dated 8/17/95 by Glenn Engineering</t>
    </r>
  </si>
  <si>
    <t>OS1</t>
  </si>
  <si>
    <t>OS2</t>
  </si>
  <si>
    <t>OS3</t>
  </si>
  <si>
    <r>
      <t xml:space="preserve">              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To Exist 15' Std Inlet</t>
    </r>
  </si>
  <si>
    <r>
      <t xml:space="preserve">             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To Exist 15' Std Inlet</t>
    </r>
  </si>
  <si>
    <t>EXISTING STORM WATER RUNOFF DATA</t>
  </si>
  <si>
    <t>SD-1</t>
  </si>
  <si>
    <t>0+19.70</t>
  </si>
  <si>
    <t>3+83.73</t>
  </si>
  <si>
    <t>2+91.92</t>
  </si>
  <si>
    <t>SD-2</t>
  </si>
  <si>
    <t>10' INLET, LINE SD-2 STA 2+91.92</t>
  </si>
  <si>
    <t>10' INLET, LINE SD-1 STA 3+83.73</t>
  </si>
  <si>
    <t>10' INLET, LINE SD-1 STA 0+19.70</t>
  </si>
  <si>
    <t>LATERALS</t>
  </si>
  <si>
    <t>SD-1A</t>
  </si>
  <si>
    <t>SD-1B</t>
  </si>
  <si>
    <t>SD-1C</t>
  </si>
  <si>
    <t>SD-1D</t>
  </si>
  <si>
    <t>SD-1E</t>
  </si>
  <si>
    <t>SD-1F</t>
  </si>
  <si>
    <t>SD-1H</t>
  </si>
  <si>
    <t>SD-2A</t>
  </si>
  <si>
    <t>SD-1I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</si>
  <si>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Reference "Aldi Food Store" Plans, Sht C-7, Dated 5/2/2016 by Burger Engineering</t>
    </r>
  </si>
  <si>
    <r>
      <t xml:space="preserve">              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Future Building</t>
    </r>
  </si>
  <si>
    <r>
      <t xml:space="preserve">              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18" RCP Lateral</t>
    </r>
  </si>
  <si>
    <t>NO LOSS</t>
  </si>
  <si>
    <t>24"x18"x60° WYE</t>
  </si>
  <si>
    <t>36"x18"x60° WYE</t>
  </si>
  <si>
    <t>42"x24"x60° WYE</t>
  </si>
  <si>
    <t>18"x18"x60° WYE</t>
  </si>
  <si>
    <t>36" 60° BEND</t>
  </si>
  <si>
    <t>18" 30° BEND</t>
  </si>
  <si>
    <t>18" 45° BEND</t>
  </si>
  <si>
    <t>36"x24"x60° WYE</t>
  </si>
  <si>
    <t>18"x18"X60° WYE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</si>
  <si>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Reference "Harlan Park Phase Two" Plans, Shts 7 and 8, Dated 11/15/94 by Harold L. Evans Consulting Engineer</t>
    </r>
  </si>
  <si>
    <r>
      <t xml:space="preserve">             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To Nebbie Williams Elementary School</t>
    </r>
  </si>
  <si>
    <r>
      <t xml:space="preserve">              </t>
    </r>
    <r>
      <rPr>
        <sz val="10"/>
        <rFont val="Arial"/>
        <family val="2"/>
      </rPr>
      <t>To Exist 36" Culvert</t>
    </r>
  </si>
  <si>
    <r>
      <t xml:space="preserve">              </t>
    </r>
    <r>
      <rPr>
        <sz val="10"/>
        <rFont val="Arial"/>
        <family val="2"/>
      </rPr>
      <t>To Exist Culvert Shannon Road</t>
    </r>
  </si>
  <si>
    <t xml:space="preserve">              To Detention Pond</t>
  </si>
  <si>
    <t xml:space="preserve">              Retail Building</t>
  </si>
  <si>
    <r>
      <t xml:space="preserve">             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West to Nebbie Williams School</t>
    </r>
  </si>
  <si>
    <r>
      <t xml:space="preserve">              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10' Std Curb Inlet</t>
    </r>
  </si>
  <si>
    <t xml:space="preserve">      Not used</t>
  </si>
  <si>
    <t>*Inlet capacities according to Figure 3.7 for sag from City of Rockwall Standards of Design and Construction</t>
  </si>
  <si>
    <t>10' STD CURB INLET</t>
  </si>
  <si>
    <t>*Inlet Capacity, 'y' not to exceed 0.5 ft</t>
  </si>
  <si>
    <t>24"x18"X60° WYE</t>
  </si>
  <si>
    <t xml:space="preserve">              To Ex 15' Std Curb Inlet Via Alley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</si>
</sst>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0.0"/>
    <numFmt numFmtId="166" formatCode="0.00000"/>
  </numFmts>
  <fonts count="2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vertAlign val="subscript"/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Courier"/>
      <family val="3"/>
    </font>
    <font>
      <b/>
      <sz val="14"/>
      <color theme="1"/>
      <name val="Calibri"/>
      <family val="2"/>
      <scheme val="minor"/>
    </font>
    <font>
      <sz val="10"/>
      <color indexed="8"/>
      <name val="Arial Narrow"/>
      <family val="2"/>
    </font>
    <font>
      <sz val="12"/>
      <color indexed="8"/>
      <name val="Arial Narrow"/>
      <family val="2"/>
    </font>
    <font>
      <sz val="10"/>
      <color theme="1"/>
      <name val="Arial Narrow"/>
      <family val="2"/>
    </font>
    <font>
      <vertAlign val="superscript"/>
      <sz val="11"/>
      <color theme="1"/>
      <name val="Calibri"/>
      <family val="2"/>
      <scheme val="minor"/>
    </font>
    <font>
      <vertAlign val="superscript"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5">
    <xf numFmtId="0" fontId="0" fillId="0" borderId="0" xfId="0"/>
    <xf numFmtId="0" fontId="4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2" fontId="5" fillId="0" borderId="1" xfId="0" applyNumberFormat="1" applyFont="1" applyBorder="1"/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4" fillId="0" borderId="0" xfId="0" applyFont="1" applyBorder="1"/>
    <xf numFmtId="0" fontId="4" fillId="0" borderId="0" xfId="0" applyFont="1"/>
    <xf numFmtId="2" fontId="5" fillId="0" borderId="26" xfId="0" applyNumberFormat="1" applyFont="1" applyBorder="1"/>
    <xf numFmtId="0" fontId="10" fillId="0" borderId="0" xfId="0" applyFont="1"/>
    <xf numFmtId="2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2" fontId="5" fillId="0" borderId="0" xfId="0" applyNumberFormat="1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/>
    </xf>
    <xf numFmtId="0" fontId="10" fillId="0" borderId="0" xfId="0" applyFont="1" applyBorder="1"/>
    <xf numFmtId="0" fontId="9" fillId="0" borderId="0" xfId="0" applyFont="1" applyBorder="1"/>
    <xf numFmtId="165" fontId="5" fillId="0" borderId="0" xfId="0" applyNumberFormat="1" applyFont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 textRotation="90" wrapText="1"/>
    </xf>
    <xf numFmtId="0" fontId="4" fillId="0" borderId="33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4" fillId="0" borderId="24" xfId="0" applyFont="1" applyBorder="1" applyAlignment="1"/>
    <xf numFmtId="0" fontId="12" fillId="0" borderId="27" xfId="0" applyFont="1" applyBorder="1" applyAlignment="1">
      <alignment horizontal="center"/>
    </xf>
    <xf numFmtId="164" fontId="4" fillId="0" borderId="0" xfId="0" applyNumberFormat="1" applyFont="1"/>
    <xf numFmtId="0" fontId="4" fillId="2" borderId="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wrapText="1"/>
    </xf>
    <xf numFmtId="165" fontId="4" fillId="0" borderId="0" xfId="0" applyNumberFormat="1" applyFont="1"/>
    <xf numFmtId="0" fontId="4" fillId="0" borderId="0" xfId="0" applyFont="1" applyFill="1" applyBorder="1"/>
    <xf numFmtId="0" fontId="4" fillId="0" borderId="0" xfId="0" applyFont="1" applyFill="1"/>
    <xf numFmtId="0" fontId="5" fillId="0" borderId="2" xfId="0" applyFont="1" applyFill="1" applyBorder="1" applyAlignment="1">
      <alignment horizontal="center" textRotation="90" wrapText="1"/>
    </xf>
    <xf numFmtId="0" fontId="4" fillId="0" borderId="3" xfId="0" applyFont="1" applyFill="1" applyBorder="1" applyAlignment="1">
      <alignment horizontal="center" textRotation="90" wrapText="1"/>
    </xf>
    <xf numFmtId="0" fontId="4" fillId="0" borderId="2" xfId="0" applyFont="1" applyFill="1" applyBorder="1" applyAlignment="1">
      <alignment horizontal="center"/>
    </xf>
    <xf numFmtId="0" fontId="4" fillId="0" borderId="5" xfId="0" applyFont="1" applyFill="1" applyBorder="1"/>
    <xf numFmtId="2" fontId="5" fillId="0" borderId="1" xfId="0" applyNumberFormat="1" applyFont="1" applyFill="1" applyBorder="1" applyAlignment="1">
      <alignment horizontal="center"/>
    </xf>
    <xf numFmtId="2" fontId="5" fillId="0" borderId="22" xfId="0" applyNumberFormat="1" applyFont="1" applyFill="1" applyBorder="1" applyAlignment="1">
      <alignment horizontal="center"/>
    </xf>
    <xf numFmtId="2" fontId="5" fillId="0" borderId="8" xfId="0" applyNumberFormat="1" applyFont="1" applyFill="1" applyBorder="1" applyAlignment="1">
      <alignment horizontal="center"/>
    </xf>
    <xf numFmtId="0" fontId="5" fillId="0" borderId="21" xfId="0" applyFont="1" applyFill="1" applyBorder="1"/>
    <xf numFmtId="2" fontId="5" fillId="0" borderId="22" xfId="0" applyNumberFormat="1" applyFont="1" applyFill="1" applyBorder="1"/>
    <xf numFmtId="0" fontId="5" fillId="0" borderId="22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 vertical="center"/>
    </xf>
    <xf numFmtId="164" fontId="5" fillId="0" borderId="22" xfId="0" applyNumberFormat="1" applyFont="1" applyFill="1" applyBorder="1" applyAlignment="1">
      <alignment horizontal="center"/>
    </xf>
    <xf numFmtId="0" fontId="5" fillId="0" borderId="22" xfId="0" applyFont="1" applyFill="1" applyBorder="1"/>
    <xf numFmtId="0" fontId="10" fillId="0" borderId="20" xfId="0" applyFont="1" applyFill="1" applyBorder="1"/>
    <xf numFmtId="0" fontId="4" fillId="0" borderId="3" xfId="0" applyFont="1" applyFill="1" applyBorder="1" applyAlignment="1">
      <alignment horizontal="center" wrapText="1"/>
    </xf>
    <xf numFmtId="2" fontId="5" fillId="0" borderId="8" xfId="0" applyNumberFormat="1" applyFont="1" applyFill="1" applyBorder="1"/>
    <xf numFmtId="0" fontId="5" fillId="0" borderId="1" xfId="0" applyFont="1" applyFill="1" applyBorder="1"/>
    <xf numFmtId="0" fontId="5" fillId="0" borderId="19" xfId="0" applyFont="1" applyFill="1" applyBorder="1"/>
    <xf numFmtId="2" fontId="5" fillId="0" borderId="1" xfId="0" applyNumberFormat="1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/>
    </xf>
    <xf numFmtId="0" fontId="9" fillId="0" borderId="4" xfId="0" applyFont="1" applyFill="1" applyBorder="1"/>
    <xf numFmtId="0" fontId="10" fillId="0" borderId="23" xfId="0" applyFont="1" applyFill="1" applyBorder="1"/>
    <xf numFmtId="0" fontId="5" fillId="0" borderId="2" xfId="0" applyFont="1" applyFill="1" applyBorder="1" applyAlignment="1">
      <alignment horizontal="center" textRotation="90"/>
    </xf>
    <xf numFmtId="0" fontId="4" fillId="0" borderId="13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6" xfId="0" applyFont="1" applyFill="1" applyBorder="1"/>
    <xf numFmtId="2" fontId="4" fillId="0" borderId="0" xfId="0" applyNumberFormat="1" applyFont="1" applyFill="1"/>
    <xf numFmtId="2" fontId="5" fillId="0" borderId="0" xfId="0" applyNumberFormat="1" applyFont="1" applyFill="1" applyBorder="1"/>
    <xf numFmtId="0" fontId="4" fillId="0" borderId="1" xfId="0" applyFont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0" fontId="5" fillId="0" borderId="1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0" xfId="0" applyFont="1"/>
    <xf numFmtId="164" fontId="5" fillId="0" borderId="0" xfId="0" applyNumberFormat="1" applyFont="1"/>
    <xf numFmtId="0" fontId="4" fillId="0" borderId="7" xfId="0" applyFont="1" applyBorder="1" applyAlignment="1">
      <alignment horizontal="center" wrapText="1"/>
    </xf>
    <xf numFmtId="0" fontId="4" fillId="0" borderId="42" xfId="0" applyFont="1" applyBorder="1" applyAlignment="1">
      <alignment horizontal="center" wrapText="1"/>
    </xf>
    <xf numFmtId="0" fontId="4" fillId="4" borderId="42" xfId="0" applyFont="1" applyFill="1" applyBorder="1" applyAlignment="1">
      <alignment horizontal="center" wrapText="1"/>
    </xf>
    <xf numFmtId="0" fontId="4" fillId="2" borderId="42" xfId="0" applyFont="1" applyFill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5" fillId="0" borderId="26" xfId="0" applyFont="1" applyBorder="1"/>
    <xf numFmtId="2" fontId="5" fillId="0" borderId="26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6" xfId="0" applyFont="1" applyBorder="1" applyAlignment="1">
      <alignment horizontal="center" vertical="center"/>
    </xf>
    <xf numFmtId="164" fontId="5" fillId="0" borderId="26" xfId="0" applyNumberFormat="1" applyFont="1" applyBorder="1" applyAlignment="1">
      <alignment horizontal="center"/>
    </xf>
    <xf numFmtId="0" fontId="10" fillId="0" borderId="26" xfId="0" applyFont="1" applyBorder="1"/>
    <xf numFmtId="0" fontId="5" fillId="0" borderId="0" xfId="0" applyFont="1" applyBorder="1" applyAlignment="1">
      <alignment horizontal="right"/>
    </xf>
    <xf numFmtId="2" fontId="5" fillId="0" borderId="20" xfId="0" applyNumberFormat="1" applyFont="1" applyBorder="1" applyAlignment="1">
      <alignment horizontal="center"/>
    </xf>
    <xf numFmtId="0" fontId="10" fillId="0" borderId="43" xfId="0" applyFont="1" applyBorder="1"/>
    <xf numFmtId="0" fontId="10" fillId="0" borderId="44" xfId="0" applyFont="1" applyBorder="1"/>
    <xf numFmtId="0" fontId="4" fillId="0" borderId="27" xfId="0" applyFont="1" applyBorder="1" applyAlignment="1">
      <alignment horizontal="center"/>
    </xf>
    <xf numFmtId="0" fontId="15" fillId="0" borderId="0" xfId="0" applyNumberFormat="1" applyFont="1" applyFill="1" applyBorder="1" applyAlignment="1" applyProtection="1">
      <protection locked="0"/>
    </xf>
    <xf numFmtId="0" fontId="0" fillId="0" borderId="5" xfId="0" applyBorder="1"/>
    <xf numFmtId="0" fontId="0" fillId="0" borderId="6" xfId="0" applyBorder="1"/>
    <xf numFmtId="0" fontId="2" fillId="0" borderId="1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9" fillId="0" borderId="29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2" fontId="2" fillId="0" borderId="22" xfId="0" applyNumberFormat="1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165" fontId="2" fillId="0" borderId="22" xfId="0" applyNumberFormat="1" applyFont="1" applyBorder="1" applyAlignment="1">
      <alignment horizontal="center"/>
    </xf>
    <xf numFmtId="1" fontId="2" fillId="0" borderId="28" xfId="0" applyNumberFormat="1" applyFont="1" applyBorder="1" applyAlignment="1">
      <alignment horizontal="center"/>
    </xf>
    <xf numFmtId="0" fontId="14" fillId="0" borderId="46" xfId="0" applyFont="1" applyBorder="1"/>
    <xf numFmtId="0" fontId="0" fillId="0" borderId="46" xfId="0" applyBorder="1"/>
    <xf numFmtId="0" fontId="0" fillId="0" borderId="47" xfId="0" applyBorder="1"/>
    <xf numFmtId="0" fontId="0" fillId="0" borderId="0" xfId="0" applyBorder="1"/>
    <xf numFmtId="0" fontId="14" fillId="0" borderId="28" xfId="0" applyFont="1" applyBorder="1"/>
    <xf numFmtId="0" fontId="4" fillId="5" borderId="0" xfId="0" applyFont="1" applyFill="1"/>
    <xf numFmtId="0" fontId="5" fillId="5" borderId="19" xfId="0" applyFont="1" applyFill="1" applyBorder="1"/>
    <xf numFmtId="2" fontId="5" fillId="5" borderId="1" xfId="0" applyNumberFormat="1" applyFont="1" applyFill="1" applyBorder="1"/>
    <xf numFmtId="2" fontId="5" fillId="5" borderId="1" xfId="0" applyNumberFormat="1" applyFont="1" applyFill="1" applyBorder="1" applyAlignment="1">
      <alignment horizontal="center"/>
    </xf>
    <xf numFmtId="2" fontId="5" fillId="5" borderId="22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/>
    </xf>
    <xf numFmtId="0" fontId="5" fillId="5" borderId="1" xfId="0" applyFont="1" applyFill="1" applyBorder="1"/>
    <xf numFmtId="0" fontId="10" fillId="5" borderId="20" xfId="0" applyFont="1" applyFill="1" applyBorder="1"/>
    <xf numFmtId="2" fontId="4" fillId="5" borderId="0" xfId="0" applyNumberFormat="1" applyFont="1" applyFill="1"/>
    <xf numFmtId="2" fontId="5" fillId="5" borderId="8" xfId="0" applyNumberFormat="1" applyFont="1" applyFill="1" applyBorder="1" applyAlignment="1">
      <alignment horizontal="center"/>
    </xf>
    <xf numFmtId="2" fontId="5" fillId="5" borderId="22" xfId="0" applyNumberFormat="1" applyFont="1" applyFill="1" applyBorder="1"/>
    <xf numFmtId="0" fontId="4" fillId="5" borderId="0" xfId="0" applyFont="1" applyFill="1" applyBorder="1"/>
    <xf numFmtId="0" fontId="5" fillId="5" borderId="2" xfId="0" applyFont="1" applyFill="1" applyBorder="1" applyAlignment="1">
      <alignment horizontal="center" textRotation="90" wrapText="1"/>
    </xf>
    <xf numFmtId="0" fontId="4" fillId="5" borderId="3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/>
    </xf>
    <xf numFmtId="0" fontId="4" fillId="5" borderId="5" xfId="0" applyFont="1" applyFill="1" applyBorder="1"/>
    <xf numFmtId="0" fontId="5" fillId="5" borderId="22" xfId="0" applyFont="1" applyFill="1" applyBorder="1" applyAlignment="1">
      <alignment horizontal="center"/>
    </xf>
    <xf numFmtId="0" fontId="10" fillId="0" borderId="17" xfId="0" applyFont="1" applyFill="1" applyBorder="1"/>
    <xf numFmtId="0" fontId="5" fillId="0" borderId="48" xfId="0" applyFont="1" applyFill="1" applyBorder="1"/>
    <xf numFmtId="2" fontId="5" fillId="0" borderId="49" xfId="0" applyNumberFormat="1" applyFont="1" applyFill="1" applyBorder="1"/>
    <xf numFmtId="2" fontId="5" fillId="0" borderId="49" xfId="0" applyNumberFormat="1" applyFont="1" applyFill="1" applyBorder="1" applyAlignment="1">
      <alignment horizontal="center"/>
    </xf>
    <xf numFmtId="0" fontId="5" fillId="0" borderId="49" xfId="0" applyFont="1" applyFill="1" applyBorder="1" applyAlignment="1">
      <alignment horizontal="center"/>
    </xf>
    <xf numFmtId="0" fontId="5" fillId="0" borderId="49" xfId="0" applyFont="1" applyFill="1" applyBorder="1" applyAlignment="1">
      <alignment horizontal="center" vertical="center"/>
    </xf>
    <xf numFmtId="0" fontId="5" fillId="5" borderId="49" xfId="0" applyFont="1" applyFill="1" applyBorder="1" applyAlignment="1">
      <alignment horizontal="center"/>
    </xf>
    <xf numFmtId="164" fontId="5" fillId="0" borderId="49" xfId="0" applyNumberFormat="1" applyFont="1" applyFill="1" applyBorder="1" applyAlignment="1">
      <alignment horizontal="center"/>
    </xf>
    <xf numFmtId="0" fontId="5" fillId="0" borderId="49" xfId="0" applyFont="1" applyFill="1" applyBorder="1"/>
    <xf numFmtId="2" fontId="5" fillId="5" borderId="49" xfId="0" applyNumberFormat="1" applyFont="1" applyFill="1" applyBorder="1"/>
    <xf numFmtId="0" fontId="10" fillId="0" borderId="50" xfId="0" applyFont="1" applyFill="1" applyBorder="1"/>
    <xf numFmtId="0" fontId="5" fillId="0" borderId="51" xfId="0" applyFont="1" applyFill="1" applyBorder="1"/>
    <xf numFmtId="0" fontId="5" fillId="0" borderId="8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/>
    </xf>
    <xf numFmtId="164" fontId="5" fillId="0" borderId="8" xfId="0" applyNumberFormat="1" applyFont="1" applyFill="1" applyBorder="1" applyAlignment="1">
      <alignment horizontal="center"/>
    </xf>
    <xf numFmtId="0" fontId="5" fillId="0" borderId="8" xfId="0" applyFont="1" applyFill="1" applyBorder="1"/>
    <xf numFmtId="2" fontId="5" fillId="5" borderId="8" xfId="0" applyNumberFormat="1" applyFont="1" applyFill="1" applyBorder="1"/>
    <xf numFmtId="0" fontId="10" fillId="0" borderId="18" xfId="0" applyFont="1" applyFill="1" applyBorder="1"/>
    <xf numFmtId="2" fontId="5" fillId="0" borderId="52" xfId="0" applyNumberFormat="1" applyFont="1" applyFill="1" applyBorder="1" applyAlignment="1">
      <alignment horizontal="center"/>
    </xf>
    <xf numFmtId="2" fontId="5" fillId="5" borderId="52" xfId="0" applyNumberFormat="1" applyFont="1" applyFill="1" applyBorder="1" applyAlignment="1">
      <alignment horizontal="center"/>
    </xf>
    <xf numFmtId="2" fontId="5" fillId="5" borderId="49" xfId="0" applyNumberFormat="1" applyFont="1" applyFill="1" applyBorder="1" applyAlignment="1">
      <alignment horizontal="center"/>
    </xf>
    <xf numFmtId="2" fontId="0" fillId="0" borderId="0" xfId="0" applyNumberFormat="1"/>
    <xf numFmtId="0" fontId="5" fillId="0" borderId="53" xfId="0" applyFont="1" applyFill="1" applyBorder="1"/>
    <xf numFmtId="2" fontId="5" fillId="0" borderId="52" xfId="0" applyNumberFormat="1" applyFont="1" applyFill="1" applyBorder="1"/>
    <xf numFmtId="0" fontId="5" fillId="0" borderId="52" xfId="0" applyFont="1" applyFill="1" applyBorder="1" applyAlignment="1">
      <alignment horizontal="center"/>
    </xf>
    <xf numFmtId="0" fontId="5" fillId="0" borderId="52" xfId="0" applyFont="1" applyFill="1" applyBorder="1" applyAlignment="1">
      <alignment horizontal="center" vertical="center"/>
    </xf>
    <xf numFmtId="0" fontId="5" fillId="5" borderId="52" xfId="0" applyFont="1" applyFill="1" applyBorder="1" applyAlignment="1">
      <alignment horizontal="center"/>
    </xf>
    <xf numFmtId="164" fontId="5" fillId="0" borderId="52" xfId="0" applyNumberFormat="1" applyFont="1" applyFill="1" applyBorder="1" applyAlignment="1">
      <alignment horizontal="center"/>
    </xf>
    <xf numFmtId="0" fontId="5" fillId="0" borderId="52" xfId="0" applyFont="1" applyFill="1" applyBorder="1"/>
    <xf numFmtId="2" fontId="5" fillId="5" borderId="52" xfId="0" applyNumberFormat="1" applyFont="1" applyFill="1" applyBorder="1"/>
    <xf numFmtId="0" fontId="0" fillId="0" borderId="0" xfId="0" applyFill="1"/>
    <xf numFmtId="0" fontId="2" fillId="0" borderId="0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2" fontId="5" fillId="0" borderId="52" xfId="0" applyNumberFormat="1" applyFont="1" applyBorder="1"/>
    <xf numFmtId="2" fontId="5" fillId="0" borderId="52" xfId="0" applyNumberFormat="1" applyFont="1" applyBorder="1" applyAlignment="1">
      <alignment horizontal="center"/>
    </xf>
    <xf numFmtId="1" fontId="5" fillId="0" borderId="52" xfId="0" applyNumberFormat="1" applyFont="1" applyBorder="1" applyAlignment="1">
      <alignment horizontal="center"/>
    </xf>
    <xf numFmtId="164" fontId="5" fillId="0" borderId="52" xfId="0" applyNumberFormat="1" applyFont="1" applyBorder="1" applyAlignment="1">
      <alignment horizontal="center"/>
    </xf>
    <xf numFmtId="2" fontId="5" fillId="4" borderId="52" xfId="0" applyNumberFormat="1" applyFont="1" applyFill="1" applyBorder="1" applyAlignment="1">
      <alignment horizontal="center"/>
    </xf>
    <xf numFmtId="166" fontId="5" fillId="0" borderId="52" xfId="0" applyNumberFormat="1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2" borderId="54" xfId="0" applyFont="1" applyFill="1" applyBorder="1" applyAlignment="1">
      <alignment horizontal="center" wrapText="1"/>
    </xf>
    <xf numFmtId="0" fontId="4" fillId="2" borderId="40" xfId="0" applyFont="1" applyFill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164" fontId="4" fillId="0" borderId="0" xfId="0" applyNumberFormat="1" applyFont="1" applyBorder="1"/>
    <xf numFmtId="0" fontId="5" fillId="0" borderId="20" xfId="0" applyFont="1" applyFill="1" applyBorder="1"/>
    <xf numFmtId="0" fontId="5" fillId="0" borderId="6" xfId="0" applyFont="1" applyFill="1" applyBorder="1"/>
    <xf numFmtId="0" fontId="5" fillId="0" borderId="18" xfId="0" applyFont="1" applyFill="1" applyBorder="1"/>
    <xf numFmtId="0" fontId="5" fillId="0" borderId="50" xfId="0" applyFont="1" applyFill="1" applyBorder="1"/>
    <xf numFmtId="0" fontId="5" fillId="0" borderId="23" xfId="0" applyFont="1" applyFill="1" applyBorder="1"/>
    <xf numFmtId="0" fontId="13" fillId="0" borderId="24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0" fontId="14" fillId="0" borderId="39" xfId="0" applyFont="1" applyBorder="1"/>
    <xf numFmtId="0" fontId="9" fillId="0" borderId="25" xfId="0" applyFont="1" applyFill="1" applyBorder="1"/>
    <xf numFmtId="0" fontId="4" fillId="0" borderId="26" xfId="0" applyFont="1" applyFill="1" applyBorder="1"/>
    <xf numFmtId="0" fontId="4" fillId="5" borderId="26" xfId="0" applyFont="1" applyFill="1" applyBorder="1"/>
    <xf numFmtId="0" fontId="5" fillId="0" borderId="24" xfId="0" applyFont="1" applyFill="1" applyBorder="1"/>
    <xf numFmtId="2" fontId="5" fillId="2" borderId="8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4" fillId="0" borderId="5" xfId="0" applyFont="1" applyFill="1" applyBorder="1" applyAlignment="1"/>
    <xf numFmtId="0" fontId="4" fillId="0" borderId="6" xfId="0" applyFont="1" applyFill="1" applyBorder="1" applyAlignment="1"/>
    <xf numFmtId="0" fontId="5" fillId="0" borderId="7" xfId="0" applyFont="1" applyFill="1" applyBorder="1" applyAlignment="1">
      <alignment horizontal="center" textRotation="90"/>
    </xf>
    <xf numFmtId="0" fontId="4" fillId="0" borderId="13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textRotation="90" wrapText="1"/>
    </xf>
    <xf numFmtId="0" fontId="4" fillId="0" borderId="1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textRotation="90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2" fillId="0" borderId="9" xfId="0" applyFont="1" applyBorder="1" applyAlignment="1">
      <alignment horizontal="center" vertical="center"/>
    </xf>
    <xf numFmtId="0" fontId="0" fillId="0" borderId="10" xfId="0" applyBorder="1" applyAlignment="1"/>
    <xf numFmtId="0" fontId="0" fillId="0" borderId="45" xfId="0" applyBorder="1" applyAlignment="1"/>
    <xf numFmtId="0" fontId="12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5" fillId="0" borderId="34" xfId="0" applyFont="1" applyBorder="1" applyAlignment="1">
      <alignment horizontal="center" textRotation="90" wrapText="1"/>
    </xf>
    <xf numFmtId="0" fontId="0" fillId="0" borderId="35" xfId="0" applyBorder="1" applyAlignment="1">
      <alignment horizontal="center"/>
    </xf>
    <xf numFmtId="0" fontId="5" fillId="0" borderId="34" xfId="0" applyFont="1" applyBorder="1" applyAlignment="1">
      <alignment horizontal="center" textRotation="90"/>
    </xf>
    <xf numFmtId="0" fontId="0" fillId="0" borderId="35" xfId="0" applyBorder="1" applyAlignment="1">
      <alignment horizontal="center" wrapText="1"/>
    </xf>
    <xf numFmtId="0" fontId="5" fillId="2" borderId="34" xfId="0" applyFont="1" applyFill="1" applyBorder="1" applyAlignment="1">
      <alignment horizontal="center" textRotation="90" wrapText="1"/>
    </xf>
    <xf numFmtId="0" fontId="0" fillId="2" borderId="35" xfId="0" applyFill="1" applyBorder="1" applyAlignment="1">
      <alignment horizontal="center" wrapText="1"/>
    </xf>
    <xf numFmtId="0" fontId="4" fillId="0" borderId="34" xfId="0" applyFont="1" applyBorder="1" applyAlignment="1">
      <alignment horizontal="center" textRotation="90" wrapText="1"/>
    </xf>
    <xf numFmtId="0" fontId="0" fillId="0" borderId="35" xfId="0" applyBorder="1" applyAlignment="1">
      <alignment horizontal="center" textRotation="90" wrapText="1"/>
    </xf>
    <xf numFmtId="0" fontId="0" fillId="2" borderId="35" xfId="0" applyFill="1" applyBorder="1" applyAlignment="1">
      <alignment horizontal="center"/>
    </xf>
    <xf numFmtId="0" fontId="5" fillId="0" borderId="36" xfId="0" applyFont="1" applyFill="1" applyBorder="1" applyAlignment="1">
      <alignment horizontal="center" textRotation="90" wrapText="1"/>
    </xf>
    <xf numFmtId="0" fontId="4" fillId="0" borderId="37" xfId="0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 textRotation="90"/>
    </xf>
    <xf numFmtId="0" fontId="0" fillId="0" borderId="35" xfId="0" applyFill="1" applyBorder="1" applyAlignment="1">
      <alignment horizontal="center"/>
    </xf>
    <xf numFmtId="0" fontId="5" fillId="0" borderId="34" xfId="0" applyFont="1" applyFill="1" applyBorder="1" applyAlignment="1">
      <alignment horizontal="center" textRotation="90" wrapText="1"/>
    </xf>
    <xf numFmtId="0" fontId="4" fillId="0" borderId="35" xfId="0" applyFont="1" applyFill="1" applyBorder="1" applyAlignment="1">
      <alignment horizontal="center" wrapText="1"/>
    </xf>
    <xf numFmtId="0" fontId="5" fillId="0" borderId="36" xfId="0" applyFont="1" applyFill="1" applyBorder="1" applyAlignment="1">
      <alignment horizontal="center" textRotation="90"/>
    </xf>
    <xf numFmtId="0" fontId="5" fillId="4" borderId="34" xfId="0" applyFont="1" applyFill="1" applyBorder="1" applyAlignment="1">
      <alignment horizontal="center" textRotation="90" wrapText="1"/>
    </xf>
    <xf numFmtId="0" fontId="0" fillId="4" borderId="35" xfId="0" applyFill="1" applyBorder="1" applyAlignment="1">
      <alignment horizontal="center"/>
    </xf>
    <xf numFmtId="0" fontId="4" fillId="0" borderId="34" xfId="0" applyFont="1" applyFill="1" applyBorder="1" applyAlignment="1">
      <alignment horizontal="center" textRotation="90"/>
    </xf>
    <xf numFmtId="0" fontId="0" fillId="0" borderId="35" xfId="0" applyFill="1" applyBorder="1" applyAlignment="1">
      <alignment horizontal="center" textRotation="90"/>
    </xf>
    <xf numFmtId="0" fontId="12" fillId="0" borderId="5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3" fillId="0" borderId="39" xfId="0" applyFont="1" applyBorder="1" applyAlignment="1">
      <alignment horizontal="center"/>
    </xf>
    <xf numFmtId="0" fontId="0" fillId="0" borderId="6" xfId="0" applyBorder="1" applyAlignme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0" xfId="0" applyFont="1" applyBorder="1" applyAlignment="1">
      <alignment horizontal="center" textRotation="90" wrapText="1"/>
    </xf>
    <xf numFmtId="0" fontId="0" fillId="0" borderId="0" xfId="0" applyBorder="1" applyAlignment="1">
      <alignment horizontal="center"/>
    </xf>
    <xf numFmtId="0" fontId="5" fillId="2" borderId="24" xfId="0" applyFont="1" applyFill="1" applyBorder="1" applyAlignment="1">
      <alignment horizontal="center" textRotation="90" wrapText="1"/>
    </xf>
    <xf numFmtId="0" fontId="5" fillId="2" borderId="41" xfId="0" applyFont="1" applyFill="1" applyBorder="1" applyAlignment="1">
      <alignment horizontal="center" textRotation="90" wrapText="1"/>
    </xf>
    <xf numFmtId="0" fontId="5" fillId="0" borderId="34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4" fillId="0" borderId="25" xfId="0" applyFont="1" applyBorder="1" applyAlignment="1">
      <alignment horizontal="center" textRotation="90" wrapText="1"/>
    </xf>
    <xf numFmtId="0" fontId="0" fillId="0" borderId="32" xfId="0" applyBorder="1" applyAlignment="1">
      <alignment horizontal="center" textRotation="90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6" xfId="0" applyFont="1" applyBorder="1" applyAlignment="1"/>
    <xf numFmtId="0" fontId="1" fillId="0" borderId="26" xfId="0" applyFont="1" applyBorder="1" applyAlignment="1">
      <alignment horizontal="center"/>
    </xf>
    <xf numFmtId="0" fontId="0" fillId="0" borderId="35" xfId="0" applyFill="1" applyBorder="1" applyAlignment="1"/>
    <xf numFmtId="0" fontId="4" fillId="0" borderId="34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3" borderId="34" xfId="0" applyFont="1" applyFill="1" applyBorder="1" applyAlignment="1">
      <alignment horizontal="center" textRotation="90" wrapText="1"/>
    </xf>
    <xf numFmtId="0" fontId="4" fillId="3" borderId="35" xfId="0" applyFont="1" applyFill="1" applyBorder="1" applyAlignment="1">
      <alignment horizontal="center" textRotation="90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2" borderId="25" xfId="0" applyFont="1" applyFill="1" applyBorder="1" applyAlignment="1">
      <alignment horizontal="center" textRotation="90" wrapText="1"/>
    </xf>
    <xf numFmtId="0" fontId="4" fillId="2" borderId="32" xfId="0" applyFont="1" applyFill="1" applyBorder="1" applyAlignment="1">
      <alignment horizontal="center" textRotation="90" wrapText="1"/>
    </xf>
    <xf numFmtId="0" fontId="4" fillId="0" borderId="35" xfId="0" applyFont="1" applyBorder="1" applyAlignment="1">
      <alignment horizontal="center" textRotation="90" wrapText="1"/>
    </xf>
    <xf numFmtId="0" fontId="4" fillId="2" borderId="34" xfId="0" applyFont="1" applyFill="1" applyBorder="1" applyAlignment="1">
      <alignment horizontal="center" textRotation="90" wrapText="1"/>
    </xf>
    <xf numFmtId="0" fontId="4" fillId="2" borderId="35" xfId="0" applyFont="1" applyFill="1" applyBorder="1" applyAlignment="1">
      <alignment horizontal="center" textRotation="90" wrapText="1"/>
    </xf>
    <xf numFmtId="0" fontId="5" fillId="0" borderId="35" xfId="0" applyFont="1" applyBorder="1" applyAlignment="1">
      <alignment horizontal="center" textRotation="90" wrapText="1"/>
    </xf>
    <xf numFmtId="0" fontId="5" fillId="2" borderId="34" xfId="0" applyFont="1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7"/>
  <sheetViews>
    <sheetView showGridLines="0" tabSelected="1" showRuler="0" topLeftCell="A4" zoomScale="90" zoomScaleNormal="90" workbookViewId="0">
      <selection activeCell="J10" sqref="J10"/>
    </sheetView>
  </sheetViews>
  <sheetFormatPr defaultColWidth="8.85546875" defaultRowHeight="14.25" x14ac:dyDescent="0.2"/>
  <cols>
    <col min="1" max="5" width="8.85546875" style="34"/>
    <col min="6" max="20" width="8.85546875" style="34" customWidth="1"/>
    <col min="21" max="21" width="8.85546875" style="107" customWidth="1"/>
    <col min="22" max="22" width="11" style="34" customWidth="1"/>
    <col min="23" max="24" width="11" style="34" hidden="1" customWidth="1"/>
    <col min="25" max="27" width="8.85546875" style="34" customWidth="1"/>
    <col min="28" max="28" width="10.140625" style="34" customWidth="1"/>
    <col min="29" max="29" width="8.85546875" style="34" customWidth="1"/>
    <col min="30" max="30" width="8.85546875" style="107" customWidth="1"/>
    <col min="31" max="38" width="8.85546875" style="34" customWidth="1"/>
    <col min="39" max="39" width="8.85546875" style="107" customWidth="1"/>
    <col min="40" max="41" width="8.85546875" style="107"/>
    <col min="42" max="42" width="33.7109375" style="34" customWidth="1"/>
    <col min="43" max="16384" width="8.85546875" style="34"/>
  </cols>
  <sheetData>
    <row r="1" spans="1:48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120"/>
      <c r="V1" s="33"/>
      <c r="W1" s="33"/>
      <c r="X1" s="33"/>
      <c r="Y1" s="33"/>
      <c r="Z1" s="33"/>
      <c r="AA1" s="33"/>
      <c r="AB1" s="33"/>
      <c r="AC1" s="33"/>
      <c r="AD1" s="120"/>
      <c r="AE1" s="33"/>
      <c r="AF1" s="33"/>
      <c r="AG1" s="33"/>
      <c r="AH1" s="33"/>
      <c r="AI1" s="33"/>
      <c r="AJ1" s="33"/>
      <c r="AK1" s="33"/>
      <c r="AL1" s="33"/>
      <c r="AM1" s="120"/>
    </row>
    <row r="2" spans="1:48" ht="15" thickBot="1" x14ac:dyDescent="0.25"/>
    <row r="3" spans="1:48" ht="16.5" thickBot="1" x14ac:dyDescent="0.3">
      <c r="B3" s="199" t="s">
        <v>6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1"/>
      <c r="AN3" s="201"/>
      <c r="AO3" s="201"/>
      <c r="AP3" s="202"/>
    </row>
    <row r="4" spans="1:48" ht="16.5" thickBot="1" x14ac:dyDescent="0.3">
      <c r="B4" s="199" t="s">
        <v>5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201"/>
      <c r="AN4" s="201"/>
      <c r="AO4" s="201"/>
      <c r="AP4" s="202"/>
    </row>
    <row r="5" spans="1:48" ht="16.149999999999999" customHeight="1" x14ac:dyDescent="0.2">
      <c r="B5" s="203" t="s">
        <v>8</v>
      </c>
      <c r="C5" s="205" t="s">
        <v>9</v>
      </c>
      <c r="D5" s="207" t="s">
        <v>10</v>
      </c>
      <c r="E5" s="207" t="s">
        <v>11</v>
      </c>
      <c r="F5" s="208" t="s">
        <v>0</v>
      </c>
      <c r="G5" s="209"/>
      <c r="H5" s="209"/>
      <c r="I5" s="209"/>
      <c r="J5" s="210"/>
      <c r="K5" s="208" t="s">
        <v>19</v>
      </c>
      <c r="L5" s="209"/>
      <c r="M5" s="209"/>
      <c r="N5" s="209"/>
      <c r="O5" s="210"/>
      <c r="P5" s="208" t="s">
        <v>27</v>
      </c>
      <c r="Q5" s="209"/>
      <c r="R5" s="210"/>
      <c r="S5" s="208" t="s">
        <v>30</v>
      </c>
      <c r="T5" s="209"/>
      <c r="U5" s="209"/>
      <c r="V5" s="209"/>
      <c r="W5" s="209"/>
      <c r="X5" s="209"/>
      <c r="Y5" s="210"/>
      <c r="Z5" s="208" t="s">
        <v>35</v>
      </c>
      <c r="AA5" s="210"/>
      <c r="AB5" s="208" t="s">
        <v>37</v>
      </c>
      <c r="AC5" s="209"/>
      <c r="AD5" s="210"/>
      <c r="AE5" s="208" t="s">
        <v>41</v>
      </c>
      <c r="AF5" s="210"/>
      <c r="AG5" s="208" t="s">
        <v>42</v>
      </c>
      <c r="AH5" s="209"/>
      <c r="AI5" s="209"/>
      <c r="AJ5" s="209"/>
      <c r="AK5" s="210"/>
      <c r="AL5" s="208" t="s">
        <v>45</v>
      </c>
      <c r="AM5" s="209"/>
      <c r="AN5" s="209"/>
      <c r="AO5" s="210"/>
      <c r="AP5" s="196" t="s">
        <v>50</v>
      </c>
    </row>
    <row r="6" spans="1:48" ht="106.9" customHeight="1" x14ac:dyDescent="0.2">
      <c r="B6" s="204"/>
      <c r="C6" s="206"/>
      <c r="D6" s="206"/>
      <c r="E6" s="206"/>
      <c r="F6" s="59" t="s">
        <v>0</v>
      </c>
      <c r="G6" s="35" t="s">
        <v>18</v>
      </c>
      <c r="H6" s="35" t="s">
        <v>15</v>
      </c>
      <c r="I6" s="59" t="s">
        <v>16</v>
      </c>
      <c r="J6" s="59" t="s">
        <v>17</v>
      </c>
      <c r="K6" s="59" t="s">
        <v>20</v>
      </c>
      <c r="L6" s="59" t="s">
        <v>23</v>
      </c>
      <c r="M6" s="35" t="s">
        <v>24</v>
      </c>
      <c r="N6" s="35" t="s">
        <v>25</v>
      </c>
      <c r="O6" s="35" t="s">
        <v>26</v>
      </c>
      <c r="P6" s="35" t="s">
        <v>162</v>
      </c>
      <c r="Q6" s="59" t="s">
        <v>29</v>
      </c>
      <c r="R6" s="59" t="s">
        <v>28</v>
      </c>
      <c r="S6" s="35" t="s">
        <v>31</v>
      </c>
      <c r="T6" s="35" t="s">
        <v>32</v>
      </c>
      <c r="U6" s="121" t="s">
        <v>33</v>
      </c>
      <c r="V6" s="35" t="s">
        <v>34</v>
      </c>
      <c r="W6" s="35" t="s">
        <v>54</v>
      </c>
      <c r="X6" s="35" t="s">
        <v>51</v>
      </c>
      <c r="Y6" s="35" t="s">
        <v>28</v>
      </c>
      <c r="Z6" s="59" t="s">
        <v>36</v>
      </c>
      <c r="AA6" s="59" t="s">
        <v>35</v>
      </c>
      <c r="AB6" s="35" t="s">
        <v>38</v>
      </c>
      <c r="AC6" s="35" t="s">
        <v>39</v>
      </c>
      <c r="AD6" s="121" t="s">
        <v>40</v>
      </c>
      <c r="AE6" s="35" t="s">
        <v>58</v>
      </c>
      <c r="AF6" s="35" t="s">
        <v>59</v>
      </c>
      <c r="AG6" s="35" t="s">
        <v>60</v>
      </c>
      <c r="AH6" s="35" t="s">
        <v>61</v>
      </c>
      <c r="AI6" s="35" t="s">
        <v>43</v>
      </c>
      <c r="AJ6" s="35" t="s">
        <v>62</v>
      </c>
      <c r="AK6" s="35" t="s">
        <v>44</v>
      </c>
      <c r="AL6" s="35" t="s">
        <v>46</v>
      </c>
      <c r="AM6" s="121" t="s">
        <v>47</v>
      </c>
      <c r="AN6" s="121" t="s">
        <v>48</v>
      </c>
      <c r="AO6" s="121" t="s">
        <v>49</v>
      </c>
      <c r="AP6" s="197"/>
    </row>
    <row r="7" spans="1:48" x14ac:dyDescent="0.2">
      <c r="B7" s="60"/>
      <c r="C7" s="61" t="s">
        <v>12</v>
      </c>
      <c r="D7" s="61" t="s">
        <v>12</v>
      </c>
      <c r="E7" s="61" t="s">
        <v>13</v>
      </c>
      <c r="F7" s="49" t="s">
        <v>14</v>
      </c>
      <c r="G7" s="49" t="s">
        <v>14</v>
      </c>
      <c r="H7" s="49"/>
      <c r="I7" s="36"/>
      <c r="J7" s="36"/>
      <c r="K7" s="49" t="s">
        <v>21</v>
      </c>
      <c r="L7" s="49" t="s">
        <v>22</v>
      </c>
      <c r="M7" s="49" t="s">
        <v>22</v>
      </c>
      <c r="N7" s="49" t="s">
        <v>22</v>
      </c>
      <c r="O7" s="49" t="s">
        <v>1</v>
      </c>
      <c r="P7" s="49" t="s">
        <v>2</v>
      </c>
      <c r="Q7" s="49" t="s">
        <v>2</v>
      </c>
      <c r="R7" s="49" t="s">
        <v>2</v>
      </c>
      <c r="S7" s="49"/>
      <c r="T7" s="49" t="s">
        <v>56</v>
      </c>
      <c r="U7" s="122" t="s">
        <v>104</v>
      </c>
      <c r="V7" s="49" t="s">
        <v>3</v>
      </c>
      <c r="W7" s="49"/>
      <c r="X7" s="49"/>
      <c r="Y7" s="49" t="s">
        <v>2</v>
      </c>
      <c r="Z7" s="49" t="s">
        <v>3</v>
      </c>
      <c r="AA7" s="49" t="s">
        <v>13</v>
      </c>
      <c r="AB7" s="49" t="s">
        <v>13</v>
      </c>
      <c r="AC7" s="49" t="s">
        <v>13</v>
      </c>
      <c r="AD7" s="122" t="s">
        <v>13</v>
      </c>
      <c r="AE7" s="49" t="s">
        <v>4</v>
      </c>
      <c r="AF7" s="49" t="s">
        <v>4</v>
      </c>
      <c r="AG7" s="49" t="s">
        <v>13</v>
      </c>
      <c r="AH7" s="49" t="s">
        <v>13</v>
      </c>
      <c r="AI7" s="36"/>
      <c r="AJ7" s="49" t="s">
        <v>13</v>
      </c>
      <c r="AK7" s="49" t="s">
        <v>13</v>
      </c>
      <c r="AL7" s="49" t="s">
        <v>13</v>
      </c>
      <c r="AM7" s="122" t="s">
        <v>13</v>
      </c>
      <c r="AN7" s="122" t="s">
        <v>13</v>
      </c>
      <c r="AO7" s="122" t="s">
        <v>13</v>
      </c>
      <c r="AP7" s="198"/>
    </row>
    <row r="8" spans="1:48" ht="15" thickBot="1" x14ac:dyDescent="0.25">
      <c r="B8" s="62">
        <v>1</v>
      </c>
      <c r="C8" s="37">
        <f>B8+1</f>
        <v>2</v>
      </c>
      <c r="D8" s="37">
        <f t="shared" ref="D8:AP8" si="0">C8+1</f>
        <v>3</v>
      </c>
      <c r="E8" s="37">
        <f t="shared" si="0"/>
        <v>4</v>
      </c>
      <c r="F8" s="37">
        <f t="shared" si="0"/>
        <v>5</v>
      </c>
      <c r="G8" s="37">
        <f t="shared" si="0"/>
        <v>6</v>
      </c>
      <c r="H8" s="37">
        <f t="shared" si="0"/>
        <v>7</v>
      </c>
      <c r="I8" s="37">
        <f t="shared" si="0"/>
        <v>8</v>
      </c>
      <c r="J8" s="37">
        <f t="shared" si="0"/>
        <v>9</v>
      </c>
      <c r="K8" s="37">
        <f t="shared" si="0"/>
        <v>10</v>
      </c>
      <c r="L8" s="37">
        <f t="shared" si="0"/>
        <v>11</v>
      </c>
      <c r="M8" s="37">
        <f t="shared" si="0"/>
        <v>12</v>
      </c>
      <c r="N8" s="37">
        <f t="shared" si="0"/>
        <v>13</v>
      </c>
      <c r="O8" s="37">
        <f t="shared" si="0"/>
        <v>14</v>
      </c>
      <c r="P8" s="37">
        <f t="shared" si="0"/>
        <v>15</v>
      </c>
      <c r="Q8" s="37">
        <f t="shared" si="0"/>
        <v>16</v>
      </c>
      <c r="R8" s="37">
        <f t="shared" si="0"/>
        <v>17</v>
      </c>
      <c r="S8" s="37">
        <f t="shared" si="0"/>
        <v>18</v>
      </c>
      <c r="T8" s="37">
        <f t="shared" si="0"/>
        <v>19</v>
      </c>
      <c r="U8" s="123">
        <f t="shared" si="0"/>
        <v>20</v>
      </c>
      <c r="V8" s="37">
        <f t="shared" si="0"/>
        <v>21</v>
      </c>
      <c r="W8" s="37"/>
      <c r="X8" s="37"/>
      <c r="Y8" s="37">
        <f>V8+1</f>
        <v>22</v>
      </c>
      <c r="Z8" s="37">
        <f t="shared" si="0"/>
        <v>23</v>
      </c>
      <c r="AA8" s="37">
        <f t="shared" si="0"/>
        <v>24</v>
      </c>
      <c r="AB8" s="37">
        <f t="shared" si="0"/>
        <v>25</v>
      </c>
      <c r="AC8" s="37">
        <f t="shared" si="0"/>
        <v>26</v>
      </c>
      <c r="AD8" s="123">
        <f t="shared" si="0"/>
        <v>27</v>
      </c>
      <c r="AE8" s="37">
        <f t="shared" si="0"/>
        <v>28</v>
      </c>
      <c r="AF8" s="37">
        <f t="shared" si="0"/>
        <v>29</v>
      </c>
      <c r="AG8" s="37">
        <f t="shared" si="0"/>
        <v>30</v>
      </c>
      <c r="AH8" s="37">
        <f t="shared" si="0"/>
        <v>31</v>
      </c>
      <c r="AI8" s="37">
        <f t="shared" si="0"/>
        <v>32</v>
      </c>
      <c r="AJ8" s="37">
        <f t="shared" si="0"/>
        <v>33</v>
      </c>
      <c r="AK8" s="37">
        <f t="shared" si="0"/>
        <v>34</v>
      </c>
      <c r="AL8" s="37">
        <f t="shared" si="0"/>
        <v>35</v>
      </c>
      <c r="AM8" s="123">
        <f t="shared" si="0"/>
        <v>36</v>
      </c>
      <c r="AN8" s="123">
        <f t="shared" si="0"/>
        <v>37</v>
      </c>
      <c r="AO8" s="123">
        <f t="shared" si="0"/>
        <v>38</v>
      </c>
      <c r="AP8" s="63">
        <f t="shared" si="0"/>
        <v>39</v>
      </c>
    </row>
    <row r="9" spans="1:48" ht="18.75" thickBot="1" x14ac:dyDescent="0.3">
      <c r="B9" s="57" t="s">
        <v>7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124"/>
      <c r="V9" s="38"/>
      <c r="W9" s="38"/>
      <c r="X9" s="38"/>
      <c r="Y9" s="38"/>
      <c r="Z9" s="38"/>
      <c r="AA9" s="38"/>
      <c r="AB9" s="38"/>
      <c r="AC9" s="38"/>
      <c r="AD9" s="124"/>
      <c r="AE9" s="38"/>
      <c r="AF9" s="38"/>
      <c r="AG9" s="38"/>
      <c r="AH9" s="38"/>
      <c r="AI9" s="38"/>
      <c r="AJ9" s="38"/>
      <c r="AK9" s="38"/>
      <c r="AL9" s="38"/>
      <c r="AM9" s="124"/>
      <c r="AN9" s="124"/>
      <c r="AO9" s="124"/>
      <c r="AP9" s="64"/>
      <c r="AR9"/>
      <c r="AS9"/>
      <c r="AT9"/>
      <c r="AU9"/>
      <c r="AV9"/>
    </row>
    <row r="10" spans="1:48" s="107" customFormat="1" ht="15.75" x14ac:dyDescent="0.25">
      <c r="B10" s="108"/>
      <c r="C10" s="109">
        <v>586.22</v>
      </c>
      <c r="D10" s="109">
        <f t="shared" ref="D10:D17" si="1">C11</f>
        <v>462.76</v>
      </c>
      <c r="E10" s="109">
        <f t="shared" ref="E10:E18" si="2">C10-D10</f>
        <v>123.46000000000004</v>
      </c>
      <c r="F10" s="110">
        <v>0.67</v>
      </c>
      <c r="G10" s="39">
        <f>F10</f>
        <v>0.67</v>
      </c>
      <c r="H10" s="110">
        <v>0.9</v>
      </c>
      <c r="I10" s="39">
        <f t="shared" ref="I10:I19" si="3">H10*G10</f>
        <v>0.60300000000000009</v>
      </c>
      <c r="J10" s="110">
        <f>I10</f>
        <v>0.60300000000000009</v>
      </c>
      <c r="K10" s="112">
        <v>100</v>
      </c>
      <c r="L10" s="112">
        <v>10</v>
      </c>
      <c r="M10" s="112">
        <v>0</v>
      </c>
      <c r="N10" s="112">
        <f t="shared" ref="N10:N19" si="4">L10+M10</f>
        <v>10</v>
      </c>
      <c r="O10" s="110">
        <v>9.8000000000000007</v>
      </c>
      <c r="P10" s="110">
        <f t="shared" ref="P10:P27" si="5">I10*O10</f>
        <v>5.9094000000000015</v>
      </c>
      <c r="Q10" s="112">
        <v>0</v>
      </c>
      <c r="R10" s="110">
        <f t="shared" ref="R10:R19" si="6">P10</f>
        <v>5.9094000000000015</v>
      </c>
      <c r="S10" s="112">
        <v>1</v>
      </c>
      <c r="T10" s="113" t="s">
        <v>55</v>
      </c>
      <c r="U10" s="112">
        <v>24</v>
      </c>
      <c r="V10" s="56">
        <f t="shared" ref="V10:V19" si="7">(AN10-AO10)/(E10)</f>
        <v>5.0000000000000001E-3</v>
      </c>
      <c r="W10" s="115">
        <f t="shared" ref="W10:W19" si="8">((((U10/12)/2)^2)*3.14159)/((U10/12)*3.14159)</f>
        <v>0.5</v>
      </c>
      <c r="X10" s="115">
        <f t="shared" ref="X10:X19" si="9">3.14159*((U10/12)/2)^2</f>
        <v>3.1415899999999999</v>
      </c>
      <c r="Y10" s="53">
        <f t="shared" ref="Y10:Y19" si="10">R10</f>
        <v>5.9094000000000015</v>
      </c>
      <c r="Z10" s="114">
        <f>(AE10^2*0.013^2)/(2.208*W10^(4/3))</f>
        <v>0</v>
      </c>
      <c r="AA10" s="110">
        <f t="shared" ref="AA10:AA18" si="11">Z10*E10</f>
        <v>0</v>
      </c>
      <c r="AB10" s="39">
        <f t="shared" ref="AB10:AB17" si="12">AC10+AA10</f>
        <v>534.9568715970297</v>
      </c>
      <c r="AC10" s="110">
        <f t="shared" ref="AC10:AC17" si="13">AD11</f>
        <v>534.9568715970297</v>
      </c>
      <c r="AD10" s="110">
        <f t="shared" ref="AD10:AD17" si="14">IF(AK10&gt;0,AB10+AK10,AB10)</f>
        <v>535.01183391439486</v>
      </c>
      <c r="AE10" s="110">
        <f t="shared" ref="AE10:AE19" si="15">AF9</f>
        <v>0</v>
      </c>
      <c r="AF10" s="110">
        <f t="shared" ref="AF10:AF19" si="16">R10/(((U10/12)/2)^2*3.141)</f>
        <v>1.8813753581661896</v>
      </c>
      <c r="AG10" s="110">
        <f t="shared" ref="AG10:AH19" si="17">(AE10^2)/64.4</f>
        <v>0</v>
      </c>
      <c r="AH10" s="110">
        <f t="shared" si="17"/>
        <v>5.4962317365139096E-2</v>
      </c>
      <c r="AI10" s="110">
        <v>0.5</v>
      </c>
      <c r="AJ10" s="110">
        <f t="shared" ref="AJ10:AJ19" si="18">AI10*AG10</f>
        <v>0</v>
      </c>
      <c r="AK10" s="110">
        <f t="shared" ref="AK10:AK19" si="19">IF( (AH10-AJ10) &lt; 0,0,(AH10-AJ10))</f>
        <v>5.4962317365139096E-2</v>
      </c>
      <c r="AL10" s="110">
        <v>538.19000000000005</v>
      </c>
      <c r="AM10" s="109">
        <f t="shared" ref="AM10:AM19" si="20">AL10-AD10</f>
        <v>3.1781660856051985</v>
      </c>
      <c r="AN10" s="109">
        <f t="shared" ref="AN10:AN19" si="21">(E10*0.005)+AO10</f>
        <v>531.23109999999986</v>
      </c>
      <c r="AO10" s="109">
        <f t="shared" ref="AO10:AO17" si="22">AN11</f>
        <v>530.61379999999986</v>
      </c>
      <c r="AP10" s="179" t="s">
        <v>195</v>
      </c>
      <c r="AR10"/>
      <c r="AS10"/>
      <c r="AT10"/>
      <c r="AU10"/>
      <c r="AV10"/>
    </row>
    <row r="11" spans="1:48" ht="15.75" x14ac:dyDescent="0.25">
      <c r="B11" s="52"/>
      <c r="C11" s="53">
        <v>462.76</v>
      </c>
      <c r="D11" s="53">
        <f t="shared" si="1"/>
        <v>444.96</v>
      </c>
      <c r="E11" s="53">
        <f t="shared" si="2"/>
        <v>17.800000000000011</v>
      </c>
      <c r="F11" s="39">
        <v>0.28000000000000003</v>
      </c>
      <c r="G11" s="39">
        <f t="shared" ref="G11:G19" si="23">G10+F11</f>
        <v>0.95000000000000007</v>
      </c>
      <c r="H11" s="39">
        <v>0.9</v>
      </c>
      <c r="I11" s="39">
        <f t="shared" si="3"/>
        <v>0.85500000000000009</v>
      </c>
      <c r="J11" s="110">
        <f t="shared" ref="J11:J19" si="24">J10+I11</f>
        <v>1.4580000000000002</v>
      </c>
      <c r="K11" s="54">
        <v>100</v>
      </c>
      <c r="L11" s="54">
        <v>10</v>
      </c>
      <c r="M11" s="54">
        <v>0</v>
      </c>
      <c r="N11" s="54">
        <f t="shared" si="4"/>
        <v>10</v>
      </c>
      <c r="O11" s="39">
        <v>9.8000000000000007</v>
      </c>
      <c r="P11" s="110">
        <f t="shared" si="5"/>
        <v>8.3790000000000013</v>
      </c>
      <c r="Q11" s="54">
        <v>0</v>
      </c>
      <c r="R11" s="110">
        <f t="shared" si="6"/>
        <v>8.3790000000000013</v>
      </c>
      <c r="S11" s="54">
        <v>1</v>
      </c>
      <c r="T11" s="55" t="s">
        <v>55</v>
      </c>
      <c r="U11" s="54">
        <v>24</v>
      </c>
      <c r="V11" s="56">
        <f t="shared" si="7"/>
        <v>5.0000000000031139E-3</v>
      </c>
      <c r="W11" s="51">
        <f t="shared" si="8"/>
        <v>0.5</v>
      </c>
      <c r="X11" s="51">
        <f t="shared" si="9"/>
        <v>3.1415899999999999</v>
      </c>
      <c r="Y11" s="53">
        <f t="shared" si="10"/>
        <v>8.3790000000000013</v>
      </c>
      <c r="Z11" s="114">
        <f t="shared" ref="Z11:Z19" si="25">(AF11^2*0.013^2)/(2.208*W11^(4/3))</f>
        <v>1.372490892148236E-3</v>
      </c>
      <c r="AA11" s="110">
        <f t="shared" si="11"/>
        <v>2.4430337880238618E-2</v>
      </c>
      <c r="AB11" s="39">
        <f t="shared" si="12"/>
        <v>534.87385266343779</v>
      </c>
      <c r="AC11" s="110">
        <f t="shared" si="13"/>
        <v>534.8494223255575</v>
      </c>
      <c r="AD11" s="110">
        <f t="shared" si="14"/>
        <v>534.9568715970297</v>
      </c>
      <c r="AE11" s="110">
        <f t="shared" si="15"/>
        <v>1.8813753581661896</v>
      </c>
      <c r="AF11" s="110">
        <f t="shared" si="16"/>
        <v>2.6676217765042982</v>
      </c>
      <c r="AG11" s="110">
        <f t="shared" si="17"/>
        <v>5.4962317365139096E-2</v>
      </c>
      <c r="AH11" s="110">
        <f t="shared" si="17"/>
        <v>0.11050009227453335</v>
      </c>
      <c r="AI11" s="110">
        <v>0.5</v>
      </c>
      <c r="AJ11" s="39">
        <f t="shared" si="18"/>
        <v>2.7481158682569548E-2</v>
      </c>
      <c r="AK11" s="39">
        <f t="shared" si="19"/>
        <v>8.3018933591963801E-2</v>
      </c>
      <c r="AL11" s="39">
        <v>536.86</v>
      </c>
      <c r="AM11" s="53">
        <f t="shared" si="20"/>
        <v>1.9031284029703102</v>
      </c>
      <c r="AN11" s="53">
        <f t="shared" si="21"/>
        <v>530.61379999999986</v>
      </c>
      <c r="AO11" s="109">
        <f t="shared" si="22"/>
        <v>530.5247999999998</v>
      </c>
      <c r="AP11" s="179" t="s">
        <v>195</v>
      </c>
      <c r="AR11"/>
      <c r="AS11"/>
      <c r="AT11"/>
      <c r="AU11"/>
      <c r="AV11"/>
    </row>
    <row r="12" spans="1:48" ht="17.25" customHeight="1" x14ac:dyDescent="0.25">
      <c r="B12" s="52"/>
      <c r="C12" s="53">
        <v>444.96</v>
      </c>
      <c r="D12" s="53">
        <f t="shared" si="1"/>
        <v>383.73</v>
      </c>
      <c r="E12" s="53">
        <f t="shared" si="2"/>
        <v>61.229999999999961</v>
      </c>
      <c r="F12" s="39">
        <v>0.04</v>
      </c>
      <c r="G12" s="39">
        <f t="shared" si="23"/>
        <v>0.9900000000000001</v>
      </c>
      <c r="H12" s="39">
        <v>0.9</v>
      </c>
      <c r="I12" s="39">
        <f t="shared" si="3"/>
        <v>0.89100000000000013</v>
      </c>
      <c r="J12" s="110">
        <f>J11+I12</f>
        <v>2.3490000000000002</v>
      </c>
      <c r="K12" s="54">
        <v>100</v>
      </c>
      <c r="L12" s="54">
        <v>10</v>
      </c>
      <c r="M12" s="54">
        <v>0</v>
      </c>
      <c r="N12" s="54">
        <f t="shared" si="4"/>
        <v>10</v>
      </c>
      <c r="O12" s="39">
        <v>9.8000000000000007</v>
      </c>
      <c r="P12" s="110">
        <f t="shared" si="5"/>
        <v>8.7318000000000016</v>
      </c>
      <c r="Q12" s="54">
        <v>0</v>
      </c>
      <c r="R12" s="110">
        <f t="shared" si="6"/>
        <v>8.7318000000000016</v>
      </c>
      <c r="S12" s="54">
        <v>1</v>
      </c>
      <c r="T12" s="55" t="s">
        <v>55</v>
      </c>
      <c r="U12" s="54">
        <v>24</v>
      </c>
      <c r="V12" s="56">
        <f t="shared" si="7"/>
        <v>5.0000000000000417E-3</v>
      </c>
      <c r="W12" s="51">
        <f t="shared" si="8"/>
        <v>0.5</v>
      </c>
      <c r="X12" s="51">
        <f t="shared" si="9"/>
        <v>3.1415899999999999</v>
      </c>
      <c r="Y12" s="53">
        <f t="shared" si="10"/>
        <v>8.7318000000000016</v>
      </c>
      <c r="Z12" s="114">
        <f t="shared" si="25"/>
        <v>1.4905022973900125E-3</v>
      </c>
      <c r="AA12" s="110">
        <f t="shared" si="11"/>
        <v>9.1263455669190405E-2</v>
      </c>
      <c r="AB12" s="39">
        <f t="shared" si="12"/>
        <v>534.78467110805127</v>
      </c>
      <c r="AC12" s="110">
        <f t="shared" si="13"/>
        <v>534.69340765238212</v>
      </c>
      <c r="AD12" s="110">
        <f t="shared" si="14"/>
        <v>534.8494223255575</v>
      </c>
      <c r="AE12" s="110">
        <f t="shared" si="15"/>
        <v>2.6676217765042982</v>
      </c>
      <c r="AF12" s="110">
        <f t="shared" si="16"/>
        <v>2.7799426934097426</v>
      </c>
      <c r="AG12" s="110">
        <f t="shared" si="17"/>
        <v>0.11050009227453335</v>
      </c>
      <c r="AH12" s="110">
        <f t="shared" si="17"/>
        <v>0.12000126364351263</v>
      </c>
      <c r="AI12" s="110">
        <v>0.5</v>
      </c>
      <c r="AJ12" s="39">
        <f t="shared" si="18"/>
        <v>5.5250046137266674E-2</v>
      </c>
      <c r="AK12" s="39">
        <f t="shared" si="19"/>
        <v>6.4751217506245962E-2</v>
      </c>
      <c r="AL12" s="39">
        <v>536.65</v>
      </c>
      <c r="AM12" s="53">
        <f t="shared" si="20"/>
        <v>1.8005776744424793</v>
      </c>
      <c r="AN12" s="53">
        <f t="shared" si="21"/>
        <v>530.5247999999998</v>
      </c>
      <c r="AO12" s="109">
        <f t="shared" si="22"/>
        <v>530.2186499999998</v>
      </c>
      <c r="AP12" s="179" t="s">
        <v>216</v>
      </c>
      <c r="AR12"/>
      <c r="AS12"/>
      <c r="AT12"/>
      <c r="AU12"/>
      <c r="AV12"/>
    </row>
    <row r="13" spans="1:48" ht="16.5" customHeight="1" x14ac:dyDescent="0.25">
      <c r="B13" s="52"/>
      <c r="C13" s="53">
        <v>383.73</v>
      </c>
      <c r="D13" s="53">
        <f>C14</f>
        <v>218.74</v>
      </c>
      <c r="E13" s="53">
        <f t="shared" si="2"/>
        <v>164.99</v>
      </c>
      <c r="F13" s="39">
        <v>1.95</v>
      </c>
      <c r="G13" s="39">
        <f t="shared" si="23"/>
        <v>2.94</v>
      </c>
      <c r="H13" s="39">
        <v>0.9</v>
      </c>
      <c r="I13" s="39">
        <f t="shared" si="3"/>
        <v>2.6459999999999999</v>
      </c>
      <c r="J13" s="39">
        <f>J12+I13</f>
        <v>4.9950000000000001</v>
      </c>
      <c r="K13" s="54">
        <v>100</v>
      </c>
      <c r="L13" s="54">
        <v>10</v>
      </c>
      <c r="M13" s="54">
        <v>0</v>
      </c>
      <c r="N13" s="54">
        <f t="shared" si="4"/>
        <v>10</v>
      </c>
      <c r="O13" s="39">
        <v>9.8000000000000007</v>
      </c>
      <c r="P13" s="39">
        <f t="shared" si="5"/>
        <v>25.930800000000001</v>
      </c>
      <c r="Q13" s="54">
        <v>0</v>
      </c>
      <c r="R13" s="39">
        <f t="shared" si="6"/>
        <v>25.930800000000001</v>
      </c>
      <c r="S13" s="54">
        <v>1</v>
      </c>
      <c r="T13" s="55" t="s">
        <v>55</v>
      </c>
      <c r="U13" s="54">
        <v>36</v>
      </c>
      <c r="V13" s="56">
        <f t="shared" si="7"/>
        <v>4.9999999999996627E-3</v>
      </c>
      <c r="W13" s="51">
        <f t="shared" si="8"/>
        <v>0.75000000000000011</v>
      </c>
      <c r="X13" s="51">
        <f t="shared" si="9"/>
        <v>7.0685775</v>
      </c>
      <c r="Y13" s="53">
        <f t="shared" si="10"/>
        <v>25.930800000000001</v>
      </c>
      <c r="Z13" s="56">
        <f t="shared" si="25"/>
        <v>1.5121801739469559E-3</v>
      </c>
      <c r="AA13" s="39">
        <f t="shared" si="11"/>
        <v>0.24949460689950828</v>
      </c>
      <c r="AB13" s="39">
        <f t="shared" si="12"/>
        <v>534.54436074737066</v>
      </c>
      <c r="AC13" s="39">
        <f t="shared" si="13"/>
        <v>534.29486614047119</v>
      </c>
      <c r="AD13" s="39">
        <f t="shared" si="14"/>
        <v>534.69340765238212</v>
      </c>
      <c r="AE13" s="39">
        <f t="shared" si="15"/>
        <v>2.7799426934097426</v>
      </c>
      <c r="AF13" s="39">
        <f t="shared" si="16"/>
        <v>3.6691499522445086</v>
      </c>
      <c r="AG13" s="39">
        <f t="shared" si="17"/>
        <v>0.12000126364351263</v>
      </c>
      <c r="AH13" s="39">
        <f t="shared" si="17"/>
        <v>0.20904753683316582</v>
      </c>
      <c r="AI13" s="39">
        <v>0.5</v>
      </c>
      <c r="AJ13" s="39">
        <f t="shared" si="18"/>
        <v>6.0000631821756314E-2</v>
      </c>
      <c r="AK13" s="39">
        <f t="shared" si="19"/>
        <v>0.14904690501140949</v>
      </c>
      <c r="AL13" s="39">
        <v>536.41999999999996</v>
      </c>
      <c r="AM13" s="53">
        <f t="shared" si="20"/>
        <v>1.7265923476178386</v>
      </c>
      <c r="AN13" s="53">
        <f t="shared" si="21"/>
        <v>530.2186499999998</v>
      </c>
      <c r="AO13" s="53">
        <f t="shared" si="22"/>
        <v>529.39369999999985</v>
      </c>
      <c r="AP13" s="179" t="s">
        <v>202</v>
      </c>
      <c r="AR13" s="157"/>
      <c r="AS13" s="157"/>
      <c r="AT13" s="157"/>
      <c r="AU13" s="157"/>
      <c r="AV13" s="157"/>
    </row>
    <row r="14" spans="1:48" ht="15.75" x14ac:dyDescent="0.25">
      <c r="B14" s="52"/>
      <c r="C14" s="53">
        <v>218.74</v>
      </c>
      <c r="D14" s="53">
        <f>C15</f>
        <v>153.34</v>
      </c>
      <c r="E14" s="53">
        <f t="shared" si="2"/>
        <v>65.400000000000006</v>
      </c>
      <c r="F14" s="39">
        <v>0.73</v>
      </c>
      <c r="G14" s="39">
        <f t="shared" si="23"/>
        <v>3.67</v>
      </c>
      <c r="H14" s="39">
        <v>0.9</v>
      </c>
      <c r="I14" s="39">
        <f t="shared" si="3"/>
        <v>3.3029999999999999</v>
      </c>
      <c r="J14" s="110">
        <f t="shared" si="24"/>
        <v>8.298</v>
      </c>
      <c r="K14" s="54">
        <v>100</v>
      </c>
      <c r="L14" s="54">
        <v>10</v>
      </c>
      <c r="M14" s="54">
        <v>0</v>
      </c>
      <c r="N14" s="54">
        <f t="shared" si="4"/>
        <v>10</v>
      </c>
      <c r="O14" s="39">
        <v>9.8000000000000007</v>
      </c>
      <c r="P14" s="110">
        <f t="shared" si="5"/>
        <v>32.369399999999999</v>
      </c>
      <c r="Q14" s="54">
        <v>0</v>
      </c>
      <c r="R14" s="110">
        <f t="shared" si="6"/>
        <v>32.369399999999999</v>
      </c>
      <c r="S14" s="54">
        <v>1</v>
      </c>
      <c r="T14" s="55" t="s">
        <v>55</v>
      </c>
      <c r="U14" s="54">
        <v>36</v>
      </c>
      <c r="V14" s="56">
        <f t="shared" si="7"/>
        <v>4.9999999999999715E-3</v>
      </c>
      <c r="W14" s="51">
        <f t="shared" si="8"/>
        <v>0.75000000000000011</v>
      </c>
      <c r="X14" s="51">
        <f t="shared" si="9"/>
        <v>7.0685775</v>
      </c>
      <c r="Y14" s="53">
        <f t="shared" si="10"/>
        <v>32.369399999999999</v>
      </c>
      <c r="Z14" s="114">
        <f t="shared" si="25"/>
        <v>2.3563565580168159E-3</v>
      </c>
      <c r="AA14" s="110">
        <f t="shared" si="11"/>
        <v>0.15410571889429978</v>
      </c>
      <c r="AB14" s="39">
        <f t="shared" si="12"/>
        <v>534.07364133550948</v>
      </c>
      <c r="AC14" s="110">
        <f t="shared" si="13"/>
        <v>533.91953561661524</v>
      </c>
      <c r="AD14" s="110">
        <f t="shared" si="14"/>
        <v>534.29486614047119</v>
      </c>
      <c r="AE14" s="110">
        <f t="shared" si="15"/>
        <v>3.6691499522445086</v>
      </c>
      <c r="AF14" s="110">
        <f t="shared" si="16"/>
        <v>4.580197389366444</v>
      </c>
      <c r="AG14" s="110">
        <f t="shared" si="17"/>
        <v>0.20904753683316582</v>
      </c>
      <c r="AH14" s="110">
        <f t="shared" si="17"/>
        <v>0.32574857337824825</v>
      </c>
      <c r="AI14" s="110">
        <v>0.5</v>
      </c>
      <c r="AJ14" s="39">
        <f t="shared" si="18"/>
        <v>0.10452376841658291</v>
      </c>
      <c r="AK14" s="39">
        <f t="shared" si="19"/>
        <v>0.22122480496166536</v>
      </c>
      <c r="AL14" s="39">
        <v>535</v>
      </c>
      <c r="AM14" s="53">
        <f t="shared" si="20"/>
        <v>0.70513385952881436</v>
      </c>
      <c r="AN14" s="53">
        <f t="shared" si="21"/>
        <v>529.39369999999985</v>
      </c>
      <c r="AO14" s="109">
        <f t="shared" si="22"/>
        <v>529.06669999999986</v>
      </c>
      <c r="AP14" s="179" t="s">
        <v>196</v>
      </c>
      <c r="AR14"/>
      <c r="AS14"/>
      <c r="AT14"/>
      <c r="AU14"/>
      <c r="AV14"/>
    </row>
    <row r="15" spans="1:48" ht="15.75" x14ac:dyDescent="0.25">
      <c r="B15" s="52"/>
      <c r="C15" s="53">
        <v>153.34</v>
      </c>
      <c r="D15" s="53">
        <f>C16</f>
        <v>51.87</v>
      </c>
      <c r="E15" s="53">
        <f t="shared" si="2"/>
        <v>101.47</v>
      </c>
      <c r="F15" s="39">
        <v>0.23</v>
      </c>
      <c r="G15" s="39">
        <f t="shared" si="23"/>
        <v>3.9</v>
      </c>
      <c r="H15" s="39">
        <v>0.9</v>
      </c>
      <c r="I15" s="39">
        <f t="shared" si="3"/>
        <v>3.51</v>
      </c>
      <c r="J15" s="110">
        <f t="shared" si="24"/>
        <v>11.808</v>
      </c>
      <c r="K15" s="54">
        <v>100</v>
      </c>
      <c r="L15" s="54">
        <v>10</v>
      </c>
      <c r="M15" s="54">
        <v>0</v>
      </c>
      <c r="N15" s="54">
        <f t="shared" si="4"/>
        <v>10</v>
      </c>
      <c r="O15" s="39">
        <v>9.8000000000000007</v>
      </c>
      <c r="P15" s="110">
        <f t="shared" si="5"/>
        <v>34.398000000000003</v>
      </c>
      <c r="Q15" s="54">
        <v>0</v>
      </c>
      <c r="R15" s="110">
        <f t="shared" si="6"/>
        <v>34.398000000000003</v>
      </c>
      <c r="S15" s="54">
        <v>1</v>
      </c>
      <c r="T15" s="55" t="s">
        <v>55</v>
      </c>
      <c r="U15" s="54">
        <v>36</v>
      </c>
      <c r="V15" s="56">
        <f t="shared" si="7"/>
        <v>4.9999999999997434E-3</v>
      </c>
      <c r="W15" s="51">
        <f t="shared" si="8"/>
        <v>0.75000000000000011</v>
      </c>
      <c r="X15" s="51">
        <f t="shared" si="9"/>
        <v>7.0685775</v>
      </c>
      <c r="Y15" s="53">
        <f t="shared" si="10"/>
        <v>34.398000000000003</v>
      </c>
      <c r="Z15" s="114">
        <f t="shared" si="25"/>
        <v>2.6609584485322315E-3</v>
      </c>
      <c r="AA15" s="110">
        <f t="shared" si="11"/>
        <v>0.27000745377256552</v>
      </c>
      <c r="AB15" s="39">
        <f t="shared" si="12"/>
        <v>533.71455240929345</v>
      </c>
      <c r="AC15" s="110">
        <f t="shared" si="13"/>
        <v>533.44454495552088</v>
      </c>
      <c r="AD15" s="110">
        <f t="shared" si="14"/>
        <v>533.91953561661524</v>
      </c>
      <c r="AE15" s="110">
        <f t="shared" si="15"/>
        <v>4.580197389366444</v>
      </c>
      <c r="AF15" s="110">
        <f t="shared" si="16"/>
        <v>4.8672397325692458</v>
      </c>
      <c r="AG15" s="110">
        <f t="shared" si="17"/>
        <v>0.32574857337824825</v>
      </c>
      <c r="AH15" s="110">
        <f t="shared" si="17"/>
        <v>0.36785749401088108</v>
      </c>
      <c r="AI15" s="110">
        <v>0.5</v>
      </c>
      <c r="AJ15" s="39">
        <f t="shared" si="18"/>
        <v>0.16287428668912413</v>
      </c>
      <c r="AK15" s="39">
        <f t="shared" si="19"/>
        <v>0.20498320732175696</v>
      </c>
      <c r="AL15" s="39">
        <v>534.70000000000005</v>
      </c>
      <c r="AM15" s="53">
        <f t="shared" si="20"/>
        <v>0.78046438338481039</v>
      </c>
      <c r="AN15" s="53">
        <f t="shared" si="21"/>
        <v>529.06669999999986</v>
      </c>
      <c r="AO15" s="109">
        <f t="shared" si="22"/>
        <v>528.55934999999988</v>
      </c>
      <c r="AP15" s="179" t="s">
        <v>196</v>
      </c>
      <c r="AR15"/>
      <c r="AS15"/>
      <c r="AT15"/>
      <c r="AU15"/>
      <c r="AV15"/>
    </row>
    <row r="16" spans="1:48" ht="15.75" x14ac:dyDescent="0.25">
      <c r="B16" s="52"/>
      <c r="C16" s="53">
        <v>51.87</v>
      </c>
      <c r="D16" s="53">
        <f t="shared" si="1"/>
        <v>44.87</v>
      </c>
      <c r="E16" s="53">
        <f t="shared" si="2"/>
        <v>7</v>
      </c>
      <c r="F16" s="39">
        <v>0.85</v>
      </c>
      <c r="G16" s="39">
        <f t="shared" si="23"/>
        <v>4.75</v>
      </c>
      <c r="H16" s="39">
        <v>0.9</v>
      </c>
      <c r="I16" s="39">
        <f t="shared" si="3"/>
        <v>4.2750000000000004</v>
      </c>
      <c r="J16" s="110">
        <f t="shared" si="24"/>
        <v>16.082999999999998</v>
      </c>
      <c r="K16" s="54">
        <v>100</v>
      </c>
      <c r="L16" s="54">
        <v>10</v>
      </c>
      <c r="M16" s="54">
        <v>0</v>
      </c>
      <c r="N16" s="54">
        <f t="shared" si="4"/>
        <v>10</v>
      </c>
      <c r="O16" s="39">
        <v>9.8000000000000007</v>
      </c>
      <c r="P16" s="110">
        <f t="shared" si="5"/>
        <v>41.895000000000003</v>
      </c>
      <c r="Q16" s="54">
        <v>0</v>
      </c>
      <c r="R16" s="110">
        <f t="shared" si="6"/>
        <v>41.895000000000003</v>
      </c>
      <c r="S16" s="54">
        <v>1</v>
      </c>
      <c r="T16" s="55" t="s">
        <v>55</v>
      </c>
      <c r="U16" s="54">
        <v>36</v>
      </c>
      <c r="V16" s="56">
        <f t="shared" si="7"/>
        <v>4.9999999999954525E-3</v>
      </c>
      <c r="W16" s="51">
        <f t="shared" si="8"/>
        <v>0.75000000000000011</v>
      </c>
      <c r="X16" s="51">
        <f t="shared" si="9"/>
        <v>7.0685775</v>
      </c>
      <c r="Y16" s="53">
        <f t="shared" si="10"/>
        <v>41.895000000000003</v>
      </c>
      <c r="Z16" s="114">
        <f t="shared" si="25"/>
        <v>3.9472633132812936E-3</v>
      </c>
      <c r="AA16" s="110">
        <f t="shared" si="11"/>
        <v>2.7630843192969056E-2</v>
      </c>
      <c r="AB16" s="39">
        <f t="shared" si="12"/>
        <v>533.08279423450392</v>
      </c>
      <c r="AC16" s="110">
        <f t="shared" si="13"/>
        <v>533.055163391311</v>
      </c>
      <c r="AD16" s="110">
        <f t="shared" si="14"/>
        <v>533.44454495552088</v>
      </c>
      <c r="AE16" s="110">
        <f t="shared" si="15"/>
        <v>4.8672397325692458</v>
      </c>
      <c r="AF16" s="110">
        <f t="shared" si="16"/>
        <v>5.9280483922317737</v>
      </c>
      <c r="AG16" s="110">
        <f t="shared" si="17"/>
        <v>0.36785749401088108</v>
      </c>
      <c r="AH16" s="110">
        <f t="shared" si="17"/>
        <v>0.54567946802238687</v>
      </c>
      <c r="AI16" s="110">
        <v>0.5</v>
      </c>
      <c r="AJ16" s="39">
        <f t="shared" si="18"/>
        <v>0.18392874700544054</v>
      </c>
      <c r="AK16" s="39">
        <f t="shared" si="19"/>
        <v>0.36175072101694633</v>
      </c>
      <c r="AL16" s="39">
        <v>534.27</v>
      </c>
      <c r="AM16" s="53">
        <f t="shared" si="20"/>
        <v>0.82545504447909934</v>
      </c>
      <c r="AN16" s="53">
        <f t="shared" si="21"/>
        <v>528.55934999999988</v>
      </c>
      <c r="AO16" s="109">
        <f t="shared" si="22"/>
        <v>528.52434999999991</v>
      </c>
      <c r="AP16" s="179" t="s">
        <v>196</v>
      </c>
      <c r="AR16"/>
      <c r="AS16"/>
      <c r="AT16"/>
      <c r="AU16"/>
      <c r="AV16"/>
    </row>
    <row r="17" spans="2:48" ht="15.75" x14ac:dyDescent="0.25">
      <c r="B17" s="52"/>
      <c r="C17" s="53">
        <v>44.87</v>
      </c>
      <c r="D17" s="53">
        <f t="shared" si="1"/>
        <v>38.869999999999997</v>
      </c>
      <c r="E17" s="53">
        <f t="shared" si="2"/>
        <v>6</v>
      </c>
      <c r="F17" s="39">
        <v>0</v>
      </c>
      <c r="G17" s="39">
        <f t="shared" si="23"/>
        <v>4.75</v>
      </c>
      <c r="H17" s="110">
        <v>0.9</v>
      </c>
      <c r="I17" s="39">
        <f t="shared" si="3"/>
        <v>4.2750000000000004</v>
      </c>
      <c r="J17" s="110">
        <f t="shared" si="24"/>
        <v>20.357999999999997</v>
      </c>
      <c r="K17" s="112">
        <v>100</v>
      </c>
      <c r="L17" s="112">
        <v>10</v>
      </c>
      <c r="M17" s="112">
        <v>0</v>
      </c>
      <c r="N17" s="112">
        <f t="shared" si="4"/>
        <v>10</v>
      </c>
      <c r="O17" s="110">
        <v>9.8000000000000007</v>
      </c>
      <c r="P17" s="110">
        <f t="shared" si="5"/>
        <v>41.895000000000003</v>
      </c>
      <c r="Q17" s="112">
        <v>0</v>
      </c>
      <c r="R17" s="110">
        <f t="shared" si="6"/>
        <v>41.895000000000003</v>
      </c>
      <c r="S17" s="112">
        <v>1</v>
      </c>
      <c r="T17" s="55" t="s">
        <v>55</v>
      </c>
      <c r="U17" s="112">
        <v>36</v>
      </c>
      <c r="V17" s="56">
        <f t="shared" si="7"/>
        <v>4.9999999999954525E-3</v>
      </c>
      <c r="W17" s="51">
        <f t="shared" si="8"/>
        <v>0.75000000000000011</v>
      </c>
      <c r="X17" s="51">
        <f t="shared" si="9"/>
        <v>7.0685775</v>
      </c>
      <c r="Y17" s="53">
        <f t="shared" si="10"/>
        <v>41.895000000000003</v>
      </c>
      <c r="Z17" s="114">
        <f t="shared" si="25"/>
        <v>3.9472633132812936E-3</v>
      </c>
      <c r="AA17" s="110">
        <f t="shared" si="11"/>
        <v>2.3683579879687763E-2</v>
      </c>
      <c r="AB17" s="39">
        <f t="shared" si="12"/>
        <v>532.7823236572998</v>
      </c>
      <c r="AC17" s="110">
        <f t="shared" si="13"/>
        <v>532.75864007742007</v>
      </c>
      <c r="AD17" s="110">
        <f t="shared" si="14"/>
        <v>533.055163391311</v>
      </c>
      <c r="AE17" s="110">
        <f t="shared" si="15"/>
        <v>5.9280483922317737</v>
      </c>
      <c r="AF17" s="110">
        <f t="shared" si="16"/>
        <v>5.9280483922317737</v>
      </c>
      <c r="AG17" s="110">
        <f t="shared" si="17"/>
        <v>0.54567946802238687</v>
      </c>
      <c r="AH17" s="110">
        <f t="shared" si="17"/>
        <v>0.54567946802238687</v>
      </c>
      <c r="AI17" s="110">
        <v>0.5</v>
      </c>
      <c r="AJ17" s="110">
        <f t="shared" si="18"/>
        <v>0.27283973401119344</v>
      </c>
      <c r="AK17" s="110">
        <f t="shared" si="19"/>
        <v>0.27283973401119344</v>
      </c>
      <c r="AL17" s="110">
        <v>534.22</v>
      </c>
      <c r="AM17" s="109">
        <f t="shared" si="20"/>
        <v>1.1648366086890292</v>
      </c>
      <c r="AN17" s="109">
        <f t="shared" si="21"/>
        <v>528.52434999999991</v>
      </c>
      <c r="AO17" s="109">
        <f t="shared" si="22"/>
        <v>528.49434999999994</v>
      </c>
      <c r="AP17" s="179" t="s">
        <v>196</v>
      </c>
      <c r="AR17"/>
      <c r="AS17"/>
      <c r="AT17"/>
      <c r="AU17"/>
      <c r="AV17"/>
    </row>
    <row r="18" spans="2:48" ht="15.75" x14ac:dyDescent="0.25">
      <c r="B18" s="52"/>
      <c r="C18" s="53">
        <v>38.869999999999997</v>
      </c>
      <c r="D18" s="53">
        <f>C19</f>
        <v>19.7</v>
      </c>
      <c r="E18" s="53">
        <f t="shared" si="2"/>
        <v>19.169999999999998</v>
      </c>
      <c r="F18" s="39">
        <v>0.78</v>
      </c>
      <c r="G18" s="39">
        <f t="shared" si="23"/>
        <v>5.53</v>
      </c>
      <c r="H18" s="110">
        <v>0.9</v>
      </c>
      <c r="I18" s="39">
        <f t="shared" si="3"/>
        <v>4.9770000000000003</v>
      </c>
      <c r="J18" s="110">
        <f t="shared" si="24"/>
        <v>25.334999999999997</v>
      </c>
      <c r="K18" s="112">
        <v>100</v>
      </c>
      <c r="L18" s="112">
        <v>10</v>
      </c>
      <c r="M18" s="112">
        <v>0</v>
      </c>
      <c r="N18" s="112">
        <f t="shared" si="4"/>
        <v>10</v>
      </c>
      <c r="O18" s="110">
        <v>9.8000000000000007</v>
      </c>
      <c r="P18" s="110">
        <f t="shared" si="5"/>
        <v>48.774600000000007</v>
      </c>
      <c r="Q18" s="112">
        <v>0</v>
      </c>
      <c r="R18" s="110">
        <f t="shared" si="6"/>
        <v>48.774600000000007</v>
      </c>
      <c r="S18" s="112">
        <v>1</v>
      </c>
      <c r="T18" s="55" t="s">
        <v>55</v>
      </c>
      <c r="U18" s="112">
        <v>36</v>
      </c>
      <c r="V18" s="56">
        <f t="shared" si="7"/>
        <v>5.0000000000021546E-3</v>
      </c>
      <c r="W18" s="51">
        <f t="shared" si="8"/>
        <v>0.75000000000000011</v>
      </c>
      <c r="X18" s="51">
        <f t="shared" si="9"/>
        <v>7.0685775</v>
      </c>
      <c r="Y18" s="53">
        <f t="shared" si="10"/>
        <v>48.774600000000007</v>
      </c>
      <c r="Z18" s="114">
        <f t="shared" si="25"/>
        <v>5.3500660235844405E-3</v>
      </c>
      <c r="AA18" s="110">
        <f t="shared" si="11"/>
        <v>0.10256076567211371</v>
      </c>
      <c r="AB18" s="39">
        <f>AC18+AA18</f>
        <v>532.34644136516329</v>
      </c>
      <c r="AC18" s="110">
        <f>AD19</f>
        <v>532.24388059949115</v>
      </c>
      <c r="AD18" s="110">
        <f>IF(AK18&gt;0,AB18+AK18,AB18)</f>
        <v>532.75864007742007</v>
      </c>
      <c r="AE18" s="110">
        <f t="shared" si="15"/>
        <v>5.9280483922317737</v>
      </c>
      <c r="AF18" s="110">
        <f t="shared" si="16"/>
        <v>6.9014963387456234</v>
      </c>
      <c r="AG18" s="110">
        <f t="shared" si="17"/>
        <v>0.54567946802238687</v>
      </c>
      <c r="AH18" s="110">
        <f t="shared" si="17"/>
        <v>0.73960639307017451</v>
      </c>
      <c r="AI18" s="110">
        <v>0.6</v>
      </c>
      <c r="AJ18" s="110">
        <f t="shared" si="18"/>
        <v>0.32740768081343213</v>
      </c>
      <c r="AK18" s="110">
        <f t="shared" si="19"/>
        <v>0.41219871225674237</v>
      </c>
      <c r="AL18" s="110">
        <v>534.16999999999996</v>
      </c>
      <c r="AM18" s="109">
        <f t="shared" si="20"/>
        <v>1.4113599225798907</v>
      </c>
      <c r="AN18" s="109">
        <f>(E18*0.005)+AO18</f>
        <v>528.49434999999994</v>
      </c>
      <c r="AO18" s="109">
        <f>AN19</f>
        <v>528.3984999999999</v>
      </c>
      <c r="AP18" s="179" t="s">
        <v>199</v>
      </c>
      <c r="AR18"/>
      <c r="AS18"/>
      <c r="AT18"/>
      <c r="AU18"/>
      <c r="AV18"/>
    </row>
    <row r="19" spans="2:48" ht="16.5" thickBot="1" x14ac:dyDescent="0.3">
      <c r="B19" s="127"/>
      <c r="C19" s="128">
        <v>19.7</v>
      </c>
      <c r="D19" s="128">
        <v>0</v>
      </c>
      <c r="E19" s="128">
        <f>C19-D19</f>
        <v>19.7</v>
      </c>
      <c r="F19" s="129">
        <v>1.27</v>
      </c>
      <c r="G19" s="39">
        <f t="shared" si="23"/>
        <v>6.8000000000000007</v>
      </c>
      <c r="H19" s="39">
        <v>0.9</v>
      </c>
      <c r="I19" s="39">
        <f t="shared" si="3"/>
        <v>6.120000000000001</v>
      </c>
      <c r="J19" s="110">
        <f t="shared" si="24"/>
        <v>31.454999999999998</v>
      </c>
      <c r="K19" s="54">
        <v>100</v>
      </c>
      <c r="L19" s="54">
        <v>10</v>
      </c>
      <c r="M19" s="54">
        <v>0</v>
      </c>
      <c r="N19" s="54">
        <f t="shared" si="4"/>
        <v>10</v>
      </c>
      <c r="O19" s="39">
        <v>9.8000000000000007</v>
      </c>
      <c r="P19" s="39">
        <f t="shared" si="5"/>
        <v>59.976000000000013</v>
      </c>
      <c r="Q19" s="54">
        <v>0</v>
      </c>
      <c r="R19" s="39">
        <f t="shared" si="6"/>
        <v>59.976000000000013</v>
      </c>
      <c r="S19" s="130">
        <v>1</v>
      </c>
      <c r="T19" s="131" t="s">
        <v>55</v>
      </c>
      <c r="U19" s="130">
        <v>42</v>
      </c>
      <c r="V19" s="56">
        <f t="shared" si="7"/>
        <v>4.9999999999971838E-3</v>
      </c>
      <c r="W19" s="134">
        <f t="shared" si="8"/>
        <v>0.875</v>
      </c>
      <c r="X19" s="134">
        <f t="shared" si="9"/>
        <v>9.6211193749999993</v>
      </c>
      <c r="Y19" s="128">
        <f t="shared" si="10"/>
        <v>59.976000000000013</v>
      </c>
      <c r="Z19" s="56">
        <f t="shared" si="25"/>
        <v>3.5553074235638192E-3</v>
      </c>
      <c r="AA19" s="39">
        <f>Z19*E19</f>
        <v>7.0039556244207241E-2</v>
      </c>
      <c r="AB19" s="129">
        <f>AC19+AA19</f>
        <v>532.01003955624424</v>
      </c>
      <c r="AC19" s="129">
        <v>531.94000000000005</v>
      </c>
      <c r="AD19" s="129">
        <f>IF(AK19&gt;0,AB19+AK19,AB19)</f>
        <v>532.24388059949115</v>
      </c>
      <c r="AE19" s="129">
        <f t="shared" si="15"/>
        <v>6.9014963387456234</v>
      </c>
      <c r="AF19" s="129">
        <f t="shared" si="16"/>
        <v>6.2349570200573083</v>
      </c>
      <c r="AG19" s="129">
        <f t="shared" si="17"/>
        <v>0.73960639307017451</v>
      </c>
      <c r="AH19" s="129">
        <f t="shared" si="17"/>
        <v>0.6036442397820172</v>
      </c>
      <c r="AI19" s="110">
        <v>0.5</v>
      </c>
      <c r="AJ19" s="39">
        <f t="shared" si="18"/>
        <v>0.36980319653508725</v>
      </c>
      <c r="AK19" s="39">
        <f t="shared" si="19"/>
        <v>0.23384104324692995</v>
      </c>
      <c r="AL19" s="39">
        <v>533</v>
      </c>
      <c r="AM19" s="53">
        <f t="shared" si="20"/>
        <v>0.75611940050885096</v>
      </c>
      <c r="AN19" s="53">
        <f t="shared" si="21"/>
        <v>528.3984999999999</v>
      </c>
      <c r="AO19" s="53">
        <v>528.29999999999995</v>
      </c>
      <c r="AP19" s="179" t="s">
        <v>197</v>
      </c>
      <c r="AR19"/>
      <c r="AS19"/>
      <c r="AT19"/>
      <c r="AU19"/>
      <c r="AV19"/>
    </row>
    <row r="20" spans="2:48" ht="18.75" thickBot="1" x14ac:dyDescent="0.3">
      <c r="B20" s="57" t="s">
        <v>155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124"/>
      <c r="V20" s="38"/>
      <c r="W20" s="38"/>
      <c r="X20" s="38"/>
      <c r="Y20" s="38"/>
      <c r="Z20" s="38"/>
      <c r="AA20" s="38"/>
      <c r="AB20" s="38"/>
      <c r="AC20" s="38"/>
      <c r="AD20" s="124"/>
      <c r="AE20" s="38"/>
      <c r="AF20" s="38"/>
      <c r="AG20" s="38"/>
      <c r="AH20" s="38"/>
      <c r="AI20" s="38"/>
      <c r="AJ20" s="38"/>
      <c r="AK20" s="38"/>
      <c r="AL20" s="38"/>
      <c r="AM20" s="124"/>
      <c r="AN20" s="124"/>
      <c r="AO20" s="124"/>
      <c r="AP20" s="180"/>
      <c r="AR20"/>
      <c r="AS20"/>
      <c r="AT20"/>
      <c r="AU20"/>
      <c r="AV20"/>
    </row>
    <row r="21" spans="2:48" ht="15.75" x14ac:dyDescent="0.25">
      <c r="B21" s="137"/>
      <c r="C21" s="50"/>
      <c r="D21" s="50">
        <f>C22</f>
        <v>291.92</v>
      </c>
      <c r="E21" s="41" t="s">
        <v>55</v>
      </c>
      <c r="F21" s="41">
        <v>0.45</v>
      </c>
      <c r="G21" s="39">
        <f>F21</f>
        <v>0.45</v>
      </c>
      <c r="H21" s="41">
        <v>0.9</v>
      </c>
      <c r="I21" s="41">
        <f t="shared" ref="I21:I27" si="26">H21*G21</f>
        <v>0.40500000000000003</v>
      </c>
      <c r="J21" s="41">
        <f>I21</f>
        <v>0.40500000000000003</v>
      </c>
      <c r="K21" s="138">
        <v>100</v>
      </c>
      <c r="L21" s="138">
        <v>10</v>
      </c>
      <c r="M21" s="138">
        <v>0</v>
      </c>
      <c r="N21" s="138">
        <f t="shared" ref="N21:N27" si="27">L21+M21</f>
        <v>10</v>
      </c>
      <c r="O21" s="41">
        <v>9.8000000000000007</v>
      </c>
      <c r="P21" s="41">
        <f t="shared" si="5"/>
        <v>3.9690000000000007</v>
      </c>
      <c r="Q21" s="138">
        <v>0</v>
      </c>
      <c r="R21" s="41">
        <f>P21</f>
        <v>3.9690000000000007</v>
      </c>
      <c r="S21" s="138">
        <v>1</v>
      </c>
      <c r="T21" s="139" t="s">
        <v>55</v>
      </c>
      <c r="U21" s="140">
        <v>18</v>
      </c>
      <c r="V21" s="141" t="s">
        <v>55</v>
      </c>
      <c r="W21" s="142">
        <f t="shared" ref="W21:W27" si="28">((((U21/12)/2)^2)*3.14159)/((U21/12)*3.14159)</f>
        <v>0.37500000000000006</v>
      </c>
      <c r="X21" s="142">
        <f t="shared" ref="X21:X27" si="29">3.14159*((U21/12)/2)^2</f>
        <v>1.767144375</v>
      </c>
      <c r="Y21" s="50">
        <f t="shared" ref="Y21:Y27" si="30">R21</f>
        <v>3.9690000000000007</v>
      </c>
      <c r="Z21" s="141">
        <f t="shared" ref="Z21:Z26" si="31">(AF21^2*0.013^2)/(2.208*W21^(4/3))</f>
        <v>1.4283255886301663E-3</v>
      </c>
      <c r="AA21" s="41" t="s">
        <v>55</v>
      </c>
      <c r="AB21" s="41">
        <f>AD23+AK21</f>
        <v>535.28101298093918</v>
      </c>
      <c r="AC21" s="41">
        <f t="shared" ref="AC21:AC24" si="32">AD22</f>
        <v>535.21181495473945</v>
      </c>
      <c r="AD21" s="118">
        <f>AC21</f>
        <v>535.21181495473945</v>
      </c>
      <c r="AE21" s="41" t="s">
        <v>55</v>
      </c>
      <c r="AF21" s="39">
        <f t="shared" ref="AF21:AF26" si="33">R21/(((U21/12)/2)^2*3.141)</f>
        <v>2.2464183381088829</v>
      </c>
      <c r="AG21" s="41" t="s">
        <v>55</v>
      </c>
      <c r="AH21" s="41">
        <f t="shared" ref="AH21:AH26" si="34">(AF21^2)/64.4</f>
        <v>7.8360176239004264E-2</v>
      </c>
      <c r="AI21" s="41">
        <v>1.25</v>
      </c>
      <c r="AJ21" s="41" t="s">
        <v>55</v>
      </c>
      <c r="AK21" s="41">
        <f>AH21*AI21</f>
        <v>9.7950220298755331E-2</v>
      </c>
      <c r="AL21" s="41">
        <v>537.20000000000005</v>
      </c>
      <c r="AM21" s="143">
        <f>AL21-AB21</f>
        <v>1.9189870190608644</v>
      </c>
      <c r="AN21" s="143">
        <f>AN22</f>
        <v>531.59960000000001</v>
      </c>
      <c r="AO21" s="143">
        <f t="shared" ref="AO21:AO25" si="35">AN22</f>
        <v>531.59960000000001</v>
      </c>
      <c r="AP21" s="181" t="s">
        <v>154</v>
      </c>
      <c r="AR21"/>
      <c r="AS21"/>
      <c r="AT21"/>
      <c r="AU21"/>
      <c r="AV21"/>
    </row>
    <row r="22" spans="2:48" ht="15.75" x14ac:dyDescent="0.25">
      <c r="B22" s="52"/>
      <c r="C22" s="53">
        <v>291.92</v>
      </c>
      <c r="D22" s="53">
        <f t="shared" ref="D22:D24" si="36">C23</f>
        <v>271.79000000000002</v>
      </c>
      <c r="E22" s="39">
        <f t="shared" ref="E22:E26" si="37">C22-D22</f>
        <v>20.129999999999995</v>
      </c>
      <c r="F22" s="39">
        <v>0</v>
      </c>
      <c r="G22" s="39">
        <f t="shared" ref="G22:G27" si="38">F22+G21</f>
        <v>0.45</v>
      </c>
      <c r="H22" s="39">
        <v>0.9</v>
      </c>
      <c r="I22" s="39">
        <f t="shared" si="26"/>
        <v>0.40500000000000003</v>
      </c>
      <c r="J22" s="39">
        <f t="shared" ref="J22:J26" si="39">I22+J21</f>
        <v>0.81</v>
      </c>
      <c r="K22" s="54">
        <v>100</v>
      </c>
      <c r="L22" s="54">
        <v>10</v>
      </c>
      <c r="M22" s="54">
        <v>0</v>
      </c>
      <c r="N22" s="54">
        <f t="shared" si="27"/>
        <v>10</v>
      </c>
      <c r="O22" s="39">
        <v>9.8000000000000007</v>
      </c>
      <c r="P22" s="39">
        <f t="shared" si="5"/>
        <v>3.9690000000000007</v>
      </c>
      <c r="Q22" s="54">
        <v>0</v>
      </c>
      <c r="R22" s="39">
        <f t="shared" ref="R22:R27" si="40">P22</f>
        <v>3.9690000000000007</v>
      </c>
      <c r="S22" s="54">
        <v>1</v>
      </c>
      <c r="T22" s="55" t="s">
        <v>55</v>
      </c>
      <c r="U22" s="112">
        <v>18</v>
      </c>
      <c r="V22" s="56">
        <f t="shared" ref="V22:V27" si="41">(AN22-AO22)/(E22)</f>
        <v>4.999999999998673E-3</v>
      </c>
      <c r="W22" s="51">
        <f t="shared" si="28"/>
        <v>0.37500000000000006</v>
      </c>
      <c r="X22" s="51">
        <f t="shared" si="29"/>
        <v>1.767144375</v>
      </c>
      <c r="Y22" s="53">
        <f t="shared" si="30"/>
        <v>3.9690000000000007</v>
      </c>
      <c r="Z22" s="56">
        <f t="shared" si="31"/>
        <v>1.4283255886301663E-3</v>
      </c>
      <c r="AA22" s="39">
        <f t="shared" ref="AA22:AA27" si="42">Z22*E22</f>
        <v>2.8752194099125241E-2</v>
      </c>
      <c r="AB22" s="39">
        <f t="shared" ref="AB22:AB24" si="43">AC22+AA22</f>
        <v>535.21181495473945</v>
      </c>
      <c r="AC22" s="39">
        <f t="shared" si="32"/>
        <v>535.18306276064038</v>
      </c>
      <c r="AD22" s="110">
        <f>AB22</f>
        <v>535.21181495473945</v>
      </c>
      <c r="AE22" s="39">
        <f t="shared" ref="AE22:AE25" si="44">AF21</f>
        <v>2.2464183381088829</v>
      </c>
      <c r="AF22" s="39">
        <f t="shared" si="33"/>
        <v>2.2464183381088829</v>
      </c>
      <c r="AG22" s="39">
        <f t="shared" ref="AG22:AG26" si="45">(AE22^2)/64.4</f>
        <v>7.8360176239004264E-2</v>
      </c>
      <c r="AH22" s="39">
        <f t="shared" si="34"/>
        <v>7.8360176239004264E-2</v>
      </c>
      <c r="AI22" s="39">
        <v>1</v>
      </c>
      <c r="AJ22" s="39">
        <f t="shared" ref="AJ22:AJ26" si="46">AI22*AG22</f>
        <v>7.8360176239004264E-2</v>
      </c>
      <c r="AK22" s="39">
        <f t="shared" ref="AK22:AK26" si="47">IF( (AH22-AJ22) &lt; 0,0,(AH22-AJ22))</f>
        <v>0</v>
      </c>
      <c r="AL22" s="39">
        <v>537.20000000000005</v>
      </c>
      <c r="AM22" s="109">
        <f t="shared" ref="AM22:AM27" si="48">AL22-AD22</f>
        <v>1.9881850452605931</v>
      </c>
      <c r="AN22" s="109">
        <f t="shared" ref="AN22:AN26" si="49">AO22+((C22-D22)*0.005)</f>
        <v>531.59960000000001</v>
      </c>
      <c r="AO22" s="109">
        <f t="shared" si="35"/>
        <v>531.49895000000004</v>
      </c>
      <c r="AP22" s="179" t="s">
        <v>163</v>
      </c>
      <c r="AR22"/>
      <c r="AS22"/>
      <c r="AT22"/>
      <c r="AU22"/>
    </row>
    <row r="23" spans="2:48" ht="15.75" x14ac:dyDescent="0.25">
      <c r="B23" s="52"/>
      <c r="C23" s="53">
        <v>271.79000000000002</v>
      </c>
      <c r="D23" s="53">
        <f t="shared" si="36"/>
        <v>213.22</v>
      </c>
      <c r="E23" s="39">
        <f t="shared" si="37"/>
        <v>58.570000000000022</v>
      </c>
      <c r="F23" s="39">
        <v>0</v>
      </c>
      <c r="G23" s="39">
        <f t="shared" si="38"/>
        <v>0.45</v>
      </c>
      <c r="H23" s="39">
        <v>0.9</v>
      </c>
      <c r="I23" s="39">
        <f t="shared" si="26"/>
        <v>0.40500000000000003</v>
      </c>
      <c r="J23" s="39">
        <f t="shared" si="39"/>
        <v>1.2150000000000001</v>
      </c>
      <c r="K23" s="54">
        <v>100</v>
      </c>
      <c r="L23" s="54">
        <v>10</v>
      </c>
      <c r="M23" s="54">
        <v>0</v>
      </c>
      <c r="N23" s="54">
        <f t="shared" si="27"/>
        <v>10</v>
      </c>
      <c r="O23" s="39">
        <v>9.8000000000000007</v>
      </c>
      <c r="P23" s="39">
        <f t="shared" si="5"/>
        <v>3.9690000000000007</v>
      </c>
      <c r="Q23" s="54">
        <v>0</v>
      </c>
      <c r="R23" s="39">
        <f t="shared" si="40"/>
        <v>3.9690000000000007</v>
      </c>
      <c r="S23" s="54">
        <v>1</v>
      </c>
      <c r="T23" s="55" t="s">
        <v>55</v>
      </c>
      <c r="U23" s="112">
        <v>18</v>
      </c>
      <c r="V23" s="56">
        <f t="shared" si="41"/>
        <v>5.0000000000007495E-3</v>
      </c>
      <c r="W23" s="51">
        <f t="shared" si="28"/>
        <v>0.37500000000000006</v>
      </c>
      <c r="X23" s="51">
        <f t="shared" si="29"/>
        <v>1.767144375</v>
      </c>
      <c r="Y23" s="53">
        <f t="shared" si="30"/>
        <v>3.9690000000000007</v>
      </c>
      <c r="Z23" s="56">
        <f t="shared" si="31"/>
        <v>1.4283255886301663E-3</v>
      </c>
      <c r="AA23" s="39">
        <f t="shared" si="42"/>
        <v>8.3657029726068879E-2</v>
      </c>
      <c r="AB23" s="39">
        <f t="shared" si="43"/>
        <v>535.18306276064038</v>
      </c>
      <c r="AC23" s="39">
        <f t="shared" si="32"/>
        <v>535.09940573091433</v>
      </c>
      <c r="AD23" s="110">
        <f>AB23</f>
        <v>535.18306276064038</v>
      </c>
      <c r="AE23" s="39">
        <f t="shared" si="44"/>
        <v>2.2464183381088829</v>
      </c>
      <c r="AF23" s="39">
        <f t="shared" si="33"/>
        <v>2.2464183381088829</v>
      </c>
      <c r="AG23" s="39">
        <f t="shared" si="45"/>
        <v>7.8360176239004264E-2</v>
      </c>
      <c r="AH23" s="39">
        <f t="shared" si="34"/>
        <v>7.8360176239004264E-2</v>
      </c>
      <c r="AI23" s="39">
        <v>0.5</v>
      </c>
      <c r="AJ23" s="39">
        <f t="shared" si="46"/>
        <v>3.9180088119502132E-2</v>
      </c>
      <c r="AK23" s="39">
        <f t="shared" si="47"/>
        <v>3.9180088119502132E-2</v>
      </c>
      <c r="AL23" s="39">
        <v>537</v>
      </c>
      <c r="AM23" s="109">
        <f t="shared" si="48"/>
        <v>1.8169372393596177</v>
      </c>
      <c r="AN23" s="109">
        <f t="shared" si="49"/>
        <v>531.49895000000004</v>
      </c>
      <c r="AO23" s="109">
        <f t="shared" si="35"/>
        <v>531.20609999999999</v>
      </c>
      <c r="AP23" s="179" t="s">
        <v>201</v>
      </c>
      <c r="AR23"/>
      <c r="AS23"/>
      <c r="AT23"/>
      <c r="AU23"/>
    </row>
    <row r="24" spans="2:48" ht="15.75" x14ac:dyDescent="0.25">
      <c r="B24" s="52"/>
      <c r="C24" s="53">
        <v>213.22</v>
      </c>
      <c r="D24" s="53">
        <f t="shared" si="36"/>
        <v>106.95</v>
      </c>
      <c r="E24" s="39">
        <f t="shared" si="37"/>
        <v>106.27</v>
      </c>
      <c r="F24" s="39">
        <v>0</v>
      </c>
      <c r="G24" s="39">
        <f t="shared" si="38"/>
        <v>0.45</v>
      </c>
      <c r="H24" s="39">
        <v>0.9</v>
      </c>
      <c r="I24" s="39">
        <f t="shared" si="26"/>
        <v>0.40500000000000003</v>
      </c>
      <c r="J24" s="39">
        <f t="shared" si="39"/>
        <v>1.62</v>
      </c>
      <c r="K24" s="54">
        <v>100</v>
      </c>
      <c r="L24" s="54">
        <v>10</v>
      </c>
      <c r="M24" s="54">
        <v>0</v>
      </c>
      <c r="N24" s="54">
        <f t="shared" si="27"/>
        <v>10</v>
      </c>
      <c r="O24" s="39">
        <v>9.8000000000000007</v>
      </c>
      <c r="P24" s="39">
        <f t="shared" si="5"/>
        <v>3.9690000000000007</v>
      </c>
      <c r="Q24" s="54">
        <v>0</v>
      </c>
      <c r="R24" s="39">
        <f t="shared" si="40"/>
        <v>3.9690000000000007</v>
      </c>
      <c r="S24" s="54">
        <v>1</v>
      </c>
      <c r="T24" s="55" t="s">
        <v>55</v>
      </c>
      <c r="U24" s="112">
        <v>18</v>
      </c>
      <c r="V24" s="56">
        <f t="shared" si="41"/>
        <v>4.9999999999997642E-3</v>
      </c>
      <c r="W24" s="51">
        <f t="shared" si="28"/>
        <v>0.37500000000000006</v>
      </c>
      <c r="X24" s="51">
        <f t="shared" si="29"/>
        <v>1.767144375</v>
      </c>
      <c r="Y24" s="53">
        <f t="shared" si="30"/>
        <v>3.9690000000000007</v>
      </c>
      <c r="Z24" s="56">
        <f t="shared" si="31"/>
        <v>1.4283255886301663E-3</v>
      </c>
      <c r="AA24" s="39">
        <f t="shared" si="42"/>
        <v>0.15178816030372777</v>
      </c>
      <c r="AB24" s="39">
        <f t="shared" si="43"/>
        <v>535.06022564279488</v>
      </c>
      <c r="AC24" s="39">
        <f t="shared" si="32"/>
        <v>534.90843748249119</v>
      </c>
      <c r="AD24" s="110">
        <f t="shared" ref="AD24:AD27" si="50">IF(AK24&gt;0,AB24+AK24,AB24)</f>
        <v>535.09940573091433</v>
      </c>
      <c r="AE24" s="39">
        <f t="shared" si="44"/>
        <v>2.2464183381088829</v>
      </c>
      <c r="AF24" s="39">
        <f t="shared" si="33"/>
        <v>2.2464183381088829</v>
      </c>
      <c r="AG24" s="39">
        <f t="shared" si="45"/>
        <v>7.8360176239004264E-2</v>
      </c>
      <c r="AH24" s="39">
        <f t="shared" si="34"/>
        <v>7.8360176239004264E-2</v>
      </c>
      <c r="AI24" s="39">
        <v>0.5</v>
      </c>
      <c r="AJ24" s="39">
        <f t="shared" si="46"/>
        <v>3.9180088119502132E-2</v>
      </c>
      <c r="AK24" s="39">
        <f t="shared" si="47"/>
        <v>3.9180088119502132E-2</v>
      </c>
      <c r="AL24" s="39">
        <v>537.36</v>
      </c>
      <c r="AM24" s="109">
        <f t="shared" si="48"/>
        <v>2.2605942690856864</v>
      </c>
      <c r="AN24" s="109">
        <f t="shared" si="49"/>
        <v>531.20609999999999</v>
      </c>
      <c r="AO24" s="109">
        <f t="shared" si="35"/>
        <v>530.67475000000002</v>
      </c>
      <c r="AP24" s="179" t="s">
        <v>201</v>
      </c>
      <c r="AR24"/>
      <c r="AS24"/>
      <c r="AT24"/>
      <c r="AU24"/>
    </row>
    <row r="25" spans="2:48" ht="15.75" x14ac:dyDescent="0.25">
      <c r="B25" s="52"/>
      <c r="C25" s="53">
        <v>106.95</v>
      </c>
      <c r="D25" s="53">
        <f>C26</f>
        <v>99.44</v>
      </c>
      <c r="E25" s="39">
        <f t="shared" si="37"/>
        <v>7.5100000000000051</v>
      </c>
      <c r="F25" s="39">
        <v>0</v>
      </c>
      <c r="G25" s="39">
        <f t="shared" si="38"/>
        <v>0.45</v>
      </c>
      <c r="H25" s="39">
        <v>0.9</v>
      </c>
      <c r="I25" s="39">
        <f t="shared" si="26"/>
        <v>0.40500000000000003</v>
      </c>
      <c r="J25" s="39">
        <f t="shared" si="39"/>
        <v>2.0250000000000004</v>
      </c>
      <c r="K25" s="54">
        <v>100</v>
      </c>
      <c r="L25" s="54">
        <v>10</v>
      </c>
      <c r="M25" s="54">
        <v>0</v>
      </c>
      <c r="N25" s="54">
        <f t="shared" si="27"/>
        <v>10</v>
      </c>
      <c r="O25" s="39">
        <v>9.8000000000000007</v>
      </c>
      <c r="P25" s="39">
        <f t="shared" si="5"/>
        <v>3.9690000000000007</v>
      </c>
      <c r="Q25" s="54">
        <v>0</v>
      </c>
      <c r="R25" s="39">
        <f t="shared" si="40"/>
        <v>3.9690000000000007</v>
      </c>
      <c r="S25" s="54">
        <v>1</v>
      </c>
      <c r="T25" s="55" t="s">
        <v>55</v>
      </c>
      <c r="U25" s="112">
        <v>18</v>
      </c>
      <c r="V25" s="56">
        <f t="shared" si="41"/>
        <v>5.0000000000013532E-3</v>
      </c>
      <c r="W25" s="51">
        <f t="shared" si="28"/>
        <v>0.37500000000000006</v>
      </c>
      <c r="X25" s="51">
        <f t="shared" si="29"/>
        <v>1.767144375</v>
      </c>
      <c r="Y25" s="53">
        <f t="shared" si="30"/>
        <v>3.9690000000000007</v>
      </c>
      <c r="Z25" s="56">
        <f t="shared" si="31"/>
        <v>1.4283255886301663E-3</v>
      </c>
      <c r="AA25" s="39">
        <f t="shared" si="42"/>
        <v>1.0726725170612557E-2</v>
      </c>
      <c r="AB25" s="39">
        <f>AC25+AA25</f>
        <v>534.90843748249119</v>
      </c>
      <c r="AC25" s="39">
        <f>AD26</f>
        <v>534.89771075732062</v>
      </c>
      <c r="AD25" s="110">
        <f t="shared" si="50"/>
        <v>534.90843748249119</v>
      </c>
      <c r="AE25" s="39">
        <f t="shared" si="44"/>
        <v>2.2464183381088829</v>
      </c>
      <c r="AF25" s="39">
        <f t="shared" si="33"/>
        <v>2.2464183381088829</v>
      </c>
      <c r="AG25" s="39">
        <f t="shared" si="45"/>
        <v>7.8360176239004264E-2</v>
      </c>
      <c r="AH25" s="39">
        <f t="shared" si="34"/>
        <v>7.8360176239004264E-2</v>
      </c>
      <c r="AI25" s="39">
        <v>0</v>
      </c>
      <c r="AJ25" s="39">
        <v>1</v>
      </c>
      <c r="AK25" s="39">
        <f t="shared" si="47"/>
        <v>0</v>
      </c>
      <c r="AL25" s="39">
        <v>536.99</v>
      </c>
      <c r="AM25" s="109">
        <f t="shared" si="48"/>
        <v>2.0815625175088144</v>
      </c>
      <c r="AN25" s="109">
        <f t="shared" si="49"/>
        <v>530.67475000000002</v>
      </c>
      <c r="AO25" s="109">
        <f t="shared" si="35"/>
        <v>530.63720000000001</v>
      </c>
      <c r="AP25" s="179" t="s">
        <v>194</v>
      </c>
      <c r="AR25"/>
      <c r="AS25"/>
      <c r="AT25"/>
      <c r="AU25"/>
    </row>
    <row r="26" spans="2:48" ht="15.75" x14ac:dyDescent="0.25">
      <c r="B26" s="52"/>
      <c r="C26" s="53">
        <v>99.44</v>
      </c>
      <c r="D26" s="53">
        <f>C27</f>
        <v>23.09</v>
      </c>
      <c r="E26" s="39">
        <f t="shared" si="37"/>
        <v>76.349999999999994</v>
      </c>
      <c r="F26" s="39">
        <v>0.28000000000000003</v>
      </c>
      <c r="G26" s="39">
        <f t="shared" si="38"/>
        <v>0.73</v>
      </c>
      <c r="H26" s="39">
        <v>0.9</v>
      </c>
      <c r="I26" s="39">
        <f t="shared" si="26"/>
        <v>0.65700000000000003</v>
      </c>
      <c r="J26" s="39">
        <f t="shared" si="39"/>
        <v>2.6820000000000004</v>
      </c>
      <c r="K26" s="54">
        <v>100</v>
      </c>
      <c r="L26" s="54">
        <v>10</v>
      </c>
      <c r="M26" s="54">
        <v>0</v>
      </c>
      <c r="N26" s="54">
        <f t="shared" si="27"/>
        <v>10</v>
      </c>
      <c r="O26" s="39">
        <v>9.8000000000000007</v>
      </c>
      <c r="P26" s="39">
        <f t="shared" si="5"/>
        <v>6.438600000000001</v>
      </c>
      <c r="Q26" s="54">
        <v>0</v>
      </c>
      <c r="R26" s="39">
        <f t="shared" si="40"/>
        <v>6.438600000000001</v>
      </c>
      <c r="S26" s="54">
        <v>1</v>
      </c>
      <c r="T26" s="55" t="s">
        <v>55</v>
      </c>
      <c r="U26" s="54">
        <v>18</v>
      </c>
      <c r="V26" s="56">
        <f t="shared" si="41"/>
        <v>5.0000000000001432E-3</v>
      </c>
      <c r="W26" s="51">
        <f t="shared" si="28"/>
        <v>0.37500000000000006</v>
      </c>
      <c r="X26" s="51">
        <f t="shared" si="29"/>
        <v>1.767144375</v>
      </c>
      <c r="Y26" s="53">
        <f t="shared" si="30"/>
        <v>6.438600000000001</v>
      </c>
      <c r="Z26" s="56">
        <f t="shared" si="31"/>
        <v>3.7587886724988443E-3</v>
      </c>
      <c r="AA26" s="39">
        <f t="shared" si="42"/>
        <v>0.28698351514528675</v>
      </c>
      <c r="AB26" s="39">
        <f>AC26+AA26</f>
        <v>534.73067781868576</v>
      </c>
      <c r="AC26" s="39">
        <f>AD27</f>
        <v>534.4436943035405</v>
      </c>
      <c r="AD26" s="39">
        <f t="shared" si="50"/>
        <v>534.89771075732062</v>
      </c>
      <c r="AE26" s="39">
        <f>AF25</f>
        <v>2.2464183381088829</v>
      </c>
      <c r="AF26" s="39">
        <f t="shared" si="33"/>
        <v>3.6441897484877437</v>
      </c>
      <c r="AG26" s="39">
        <f t="shared" si="45"/>
        <v>7.8360176239004264E-2</v>
      </c>
      <c r="AH26" s="39">
        <f t="shared" si="34"/>
        <v>0.20621302675439696</v>
      </c>
      <c r="AI26" s="39">
        <v>0.5</v>
      </c>
      <c r="AJ26" s="39">
        <f t="shared" si="46"/>
        <v>3.9180088119502132E-2</v>
      </c>
      <c r="AK26" s="39">
        <f t="shared" si="47"/>
        <v>0.16703293863489482</v>
      </c>
      <c r="AL26" s="39">
        <v>536.80999999999995</v>
      </c>
      <c r="AM26" s="53">
        <f t="shared" si="48"/>
        <v>1.9122892426793214</v>
      </c>
      <c r="AN26" s="53">
        <f t="shared" si="49"/>
        <v>530.63720000000001</v>
      </c>
      <c r="AO26" s="53">
        <f>AN27</f>
        <v>530.25545</v>
      </c>
      <c r="AP26" s="179" t="s">
        <v>198</v>
      </c>
      <c r="AR26" s="157"/>
      <c r="AS26" s="157"/>
      <c r="AT26" s="157"/>
      <c r="AU26" s="157"/>
    </row>
    <row r="27" spans="2:48" ht="16.5" thickBot="1" x14ac:dyDescent="0.3">
      <c r="B27" s="127"/>
      <c r="C27" s="128">
        <v>23.09</v>
      </c>
      <c r="D27" s="128">
        <v>0</v>
      </c>
      <c r="E27" s="129">
        <f>C27-D27</f>
        <v>23.09</v>
      </c>
      <c r="F27" s="129">
        <v>0</v>
      </c>
      <c r="G27" s="39">
        <f t="shared" si="38"/>
        <v>0.73</v>
      </c>
      <c r="H27" s="129">
        <v>0.9</v>
      </c>
      <c r="I27" s="129">
        <f t="shared" si="26"/>
        <v>0.65700000000000003</v>
      </c>
      <c r="J27" s="129">
        <f>I27+J26</f>
        <v>3.3390000000000004</v>
      </c>
      <c r="K27" s="130">
        <v>100</v>
      </c>
      <c r="L27" s="130">
        <v>10</v>
      </c>
      <c r="M27" s="130">
        <v>0</v>
      </c>
      <c r="N27" s="130">
        <f t="shared" si="27"/>
        <v>10</v>
      </c>
      <c r="O27" s="129">
        <v>9.8000000000000007</v>
      </c>
      <c r="P27" s="129">
        <f t="shared" si="5"/>
        <v>6.438600000000001</v>
      </c>
      <c r="Q27" s="130">
        <v>0</v>
      </c>
      <c r="R27" s="129">
        <f t="shared" si="40"/>
        <v>6.438600000000001</v>
      </c>
      <c r="S27" s="130">
        <v>1</v>
      </c>
      <c r="T27" s="131" t="s">
        <v>55</v>
      </c>
      <c r="U27" s="132">
        <v>18</v>
      </c>
      <c r="V27" s="133">
        <f t="shared" si="41"/>
        <v>5.0000000000004251E-3</v>
      </c>
      <c r="W27" s="134">
        <f t="shared" si="28"/>
        <v>0.37500000000000006</v>
      </c>
      <c r="X27" s="134">
        <f t="shared" si="29"/>
        <v>1.767144375</v>
      </c>
      <c r="Y27" s="128">
        <f t="shared" si="30"/>
        <v>6.438600000000001</v>
      </c>
      <c r="Z27" s="133">
        <f>(AF27^2*0.013^2)/(2.208*W27^(4/3))</f>
        <v>5.937646457006434E-3</v>
      </c>
      <c r="AA27" s="129">
        <f t="shared" si="42"/>
        <v>0.13710025669227857</v>
      </c>
      <c r="AB27" s="129">
        <f>AC27+AA27</f>
        <v>534.21074159220177</v>
      </c>
      <c r="AC27" s="129">
        <f>AB14</f>
        <v>534.07364133550948</v>
      </c>
      <c r="AD27" s="147">
        <f t="shared" si="50"/>
        <v>534.4436943035405</v>
      </c>
      <c r="AE27" s="39">
        <f>R27/(((U27/12)/2)^2*3.141)</f>
        <v>3.6441897484877437</v>
      </c>
      <c r="AF27" s="129">
        <f>AF14</f>
        <v>4.580197389366444</v>
      </c>
      <c r="AG27" s="129">
        <f>(AE27^2)/64.4</f>
        <v>0.20621302675439696</v>
      </c>
      <c r="AH27" s="129">
        <f>(AF27^2)/64.4</f>
        <v>0.32574857337824825</v>
      </c>
      <c r="AI27" s="129">
        <v>0.45</v>
      </c>
      <c r="AJ27" s="129">
        <f>AI27*AG27</f>
        <v>9.2795862039478635E-2</v>
      </c>
      <c r="AK27" s="129">
        <f>IF( (AH27-AJ27) &lt; 0,0,(AH27-AJ27))</f>
        <v>0.2329527113387696</v>
      </c>
      <c r="AL27" s="129">
        <v>535.38</v>
      </c>
      <c r="AM27" s="135">
        <f t="shared" si="48"/>
        <v>0.9363056964594989</v>
      </c>
      <c r="AN27" s="135">
        <f>AO27+((C27-D27)*0.005)</f>
        <v>530.25545</v>
      </c>
      <c r="AO27" s="135">
        <v>530.14</v>
      </c>
      <c r="AP27" s="182" t="s">
        <v>200</v>
      </c>
      <c r="AR27"/>
      <c r="AS27"/>
      <c r="AT27"/>
      <c r="AU27"/>
    </row>
    <row r="28" spans="2:48" ht="18.75" thickBot="1" x14ac:dyDescent="0.3">
      <c r="B28" s="190" t="s">
        <v>181</v>
      </c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2"/>
      <c r="V28" s="191"/>
      <c r="W28" s="191"/>
      <c r="X28" s="191"/>
      <c r="Y28" s="191"/>
      <c r="Z28" s="191"/>
      <c r="AA28" s="191"/>
      <c r="AB28" s="191"/>
      <c r="AC28" s="191"/>
      <c r="AD28" s="192"/>
      <c r="AE28" s="191"/>
      <c r="AF28" s="191"/>
      <c r="AG28" s="191"/>
      <c r="AH28" s="191"/>
      <c r="AI28" s="191"/>
      <c r="AJ28" s="191"/>
      <c r="AK28" s="191"/>
      <c r="AL28" s="191"/>
      <c r="AM28" s="192"/>
      <c r="AN28" s="192"/>
      <c r="AO28" s="192"/>
      <c r="AP28" s="193"/>
      <c r="AR28"/>
      <c r="AS28"/>
      <c r="AT28"/>
      <c r="AU28"/>
    </row>
    <row r="29" spans="2:48" ht="15.75" x14ac:dyDescent="0.25">
      <c r="B29" s="137" t="s">
        <v>182</v>
      </c>
      <c r="C29" s="41" t="s">
        <v>55</v>
      </c>
      <c r="D29" s="41" t="s">
        <v>55</v>
      </c>
      <c r="E29" s="41" t="s">
        <v>55</v>
      </c>
      <c r="F29" s="41" t="s">
        <v>55</v>
      </c>
      <c r="G29" s="41" t="s">
        <v>55</v>
      </c>
      <c r="H29" s="41" t="s">
        <v>55</v>
      </c>
      <c r="I29" s="41" t="s">
        <v>55</v>
      </c>
      <c r="J29" s="41" t="s">
        <v>55</v>
      </c>
      <c r="K29" s="41" t="s">
        <v>55</v>
      </c>
      <c r="L29" s="41" t="s">
        <v>55</v>
      </c>
      <c r="M29" s="41" t="s">
        <v>55</v>
      </c>
      <c r="N29" s="41" t="s">
        <v>55</v>
      </c>
      <c r="O29" s="41" t="s">
        <v>55</v>
      </c>
      <c r="P29" s="41" t="s">
        <v>55</v>
      </c>
      <c r="Q29" s="41" t="s">
        <v>55</v>
      </c>
      <c r="R29" s="41" t="s">
        <v>55</v>
      </c>
      <c r="S29" s="41" t="s">
        <v>55</v>
      </c>
      <c r="T29" s="41" t="s">
        <v>55</v>
      </c>
      <c r="U29" s="41" t="s">
        <v>55</v>
      </c>
      <c r="V29" s="41" t="s">
        <v>55</v>
      </c>
      <c r="W29" s="41" t="s">
        <v>55</v>
      </c>
      <c r="X29" s="41" t="s">
        <v>55</v>
      </c>
      <c r="Y29" s="41" t="s">
        <v>55</v>
      </c>
      <c r="Z29" s="41" t="s">
        <v>55</v>
      </c>
      <c r="AA29" s="41" t="s">
        <v>55</v>
      </c>
      <c r="AB29" s="41">
        <f>AB30+AJ29</f>
        <v>532.78632213920821</v>
      </c>
      <c r="AC29" s="41" t="s">
        <v>55</v>
      </c>
      <c r="AD29" s="41" t="s">
        <v>55</v>
      </c>
      <c r="AE29" s="41">
        <f>AE30</f>
        <v>3.5661891117478515</v>
      </c>
      <c r="AF29" s="41" t="s">
        <v>55</v>
      </c>
      <c r="AG29" s="41" t="s">
        <v>55</v>
      </c>
      <c r="AH29" s="41">
        <f>AG30</f>
        <v>0.19747988789982809</v>
      </c>
      <c r="AI29" s="41">
        <v>1.25</v>
      </c>
      <c r="AJ29" s="41">
        <f>AI29*AH29</f>
        <v>0.24684985987478511</v>
      </c>
      <c r="AK29" s="41" t="s">
        <v>55</v>
      </c>
      <c r="AL29" s="41">
        <v>533.9</v>
      </c>
      <c r="AM29" s="194">
        <f>AL29-AB29</f>
        <v>1.1136778607917677</v>
      </c>
      <c r="AN29" s="41" t="s">
        <v>55</v>
      </c>
      <c r="AO29" s="41" t="s">
        <v>55</v>
      </c>
      <c r="AP29" s="181" t="s">
        <v>214</v>
      </c>
      <c r="AR29"/>
      <c r="AS29"/>
      <c r="AT29"/>
      <c r="AU29"/>
    </row>
    <row r="30" spans="2:48" ht="15.75" x14ac:dyDescent="0.25">
      <c r="B30" s="52" t="s">
        <v>182</v>
      </c>
      <c r="C30" s="53">
        <v>10</v>
      </c>
      <c r="D30" s="53">
        <v>0</v>
      </c>
      <c r="E30" s="39">
        <f t="shared" ref="E30:E39" si="51">C30-D30</f>
        <v>10</v>
      </c>
      <c r="F30" s="39">
        <v>1.27</v>
      </c>
      <c r="G30" s="39">
        <f>F30</f>
        <v>1.27</v>
      </c>
      <c r="H30" s="39">
        <v>0.9</v>
      </c>
      <c r="I30" s="39">
        <f>H30*G30</f>
        <v>1.143</v>
      </c>
      <c r="J30" s="39">
        <f>I30</f>
        <v>1.143</v>
      </c>
      <c r="K30" s="54">
        <v>100</v>
      </c>
      <c r="L30" s="54">
        <v>10</v>
      </c>
      <c r="M30" s="54">
        <v>0</v>
      </c>
      <c r="N30" s="54">
        <f t="shared" ref="N30:N39" si="52">L30+M30</f>
        <v>10</v>
      </c>
      <c r="O30" s="39">
        <v>9.8000000000000007</v>
      </c>
      <c r="P30" s="39">
        <f t="shared" ref="P30:P39" si="53">I30*O30</f>
        <v>11.201400000000001</v>
      </c>
      <c r="Q30" s="54">
        <v>0</v>
      </c>
      <c r="R30" s="39">
        <f>P30</f>
        <v>11.201400000000001</v>
      </c>
      <c r="S30" s="54">
        <v>1</v>
      </c>
      <c r="T30" s="55" t="s">
        <v>55</v>
      </c>
      <c r="U30" s="112">
        <v>24</v>
      </c>
      <c r="V30" s="56">
        <f t="shared" ref="V30:V39" si="54">(AN30-AO30)/(E30)</f>
        <v>5.000000000006821E-3</v>
      </c>
      <c r="W30" s="51">
        <f t="shared" ref="W30:W39" si="55">((((U30/12)/2)^2)*3.14159)/((U30/12)*3.14159)</f>
        <v>0.5</v>
      </c>
      <c r="X30" s="51">
        <f t="shared" ref="X30:X39" si="56">3.14159*((U30/12)/2)^2</f>
        <v>3.1415899999999999</v>
      </c>
      <c r="Y30" s="53">
        <f>R30</f>
        <v>11.201400000000001</v>
      </c>
      <c r="Z30" s="56">
        <f>(AE30^2*0.013^2)/(2.208*W30^(4/3))</f>
        <v>2.452842725701817E-3</v>
      </c>
      <c r="AA30" s="39">
        <f t="shared" ref="AA30:AA39" si="57">Z30*E30</f>
        <v>2.4528427257018169E-2</v>
      </c>
      <c r="AB30" s="39">
        <f>AD30+AA30</f>
        <v>532.53947227933338</v>
      </c>
      <c r="AC30" s="39">
        <f>AB19</f>
        <v>532.01003955624424</v>
      </c>
      <c r="AD30" s="110">
        <f>AC30+AK30</f>
        <v>532.51494385207639</v>
      </c>
      <c r="AE30" s="39">
        <f>R30/(((U30/12)/2)^2*3.141)</f>
        <v>3.5661891117478515</v>
      </c>
      <c r="AF30" s="39">
        <f>AF19</f>
        <v>6.2349570200573083</v>
      </c>
      <c r="AG30" s="39">
        <f t="shared" ref="AG30:AG39" si="58">(AE30^2)/64.4</f>
        <v>0.19747988789982809</v>
      </c>
      <c r="AH30" s="39">
        <f t="shared" ref="AH30:AH39" si="59">(AF30^2)/64.4</f>
        <v>0.6036442397820172</v>
      </c>
      <c r="AI30" s="39">
        <v>0.5</v>
      </c>
      <c r="AJ30" s="39">
        <f t="shared" ref="AJ30:AJ39" si="60">AI30*AG30</f>
        <v>9.8739943949914047E-2</v>
      </c>
      <c r="AK30" s="39">
        <f t="shared" ref="AK30:AK39" si="61">IF( (AH30-AJ30) &lt; 0,0,(AH30-AJ30))</f>
        <v>0.50490429583210317</v>
      </c>
      <c r="AL30" s="39">
        <v>533.9</v>
      </c>
      <c r="AM30" s="39">
        <f t="shared" ref="AM30:AM39" si="62">AL30-AB30</f>
        <v>1.360527720666596</v>
      </c>
      <c r="AN30" s="53">
        <v>529.20000000000005</v>
      </c>
      <c r="AO30" s="109">
        <v>529.15</v>
      </c>
      <c r="AP30" s="179" t="s">
        <v>202</v>
      </c>
      <c r="AR30"/>
      <c r="AS30"/>
      <c r="AT30"/>
      <c r="AU30"/>
    </row>
    <row r="31" spans="2:48" ht="15.75" x14ac:dyDescent="0.25">
      <c r="B31" s="52" t="s">
        <v>183</v>
      </c>
      <c r="C31" s="53">
        <v>35</v>
      </c>
      <c r="D31" s="53">
        <v>0</v>
      </c>
      <c r="E31" s="39">
        <f>C31-D31</f>
        <v>35</v>
      </c>
      <c r="F31" s="39">
        <v>0.23</v>
      </c>
      <c r="G31" s="39">
        <f>F31</f>
        <v>0.23</v>
      </c>
      <c r="H31" s="39">
        <v>0.9</v>
      </c>
      <c r="I31" s="39">
        <f>H31*G31</f>
        <v>0.20700000000000002</v>
      </c>
      <c r="J31" s="39">
        <f>I31</f>
        <v>0.20700000000000002</v>
      </c>
      <c r="K31" s="54">
        <v>100</v>
      </c>
      <c r="L31" s="54">
        <v>10</v>
      </c>
      <c r="M31" s="54">
        <v>0</v>
      </c>
      <c r="N31" s="54">
        <f>L31+M31</f>
        <v>10</v>
      </c>
      <c r="O31" s="39">
        <v>9.8000000000000007</v>
      </c>
      <c r="P31" s="39">
        <f>I31*O31</f>
        <v>2.0286000000000004</v>
      </c>
      <c r="Q31" s="54">
        <v>0</v>
      </c>
      <c r="R31" s="39">
        <f>P31</f>
        <v>2.0286000000000004</v>
      </c>
      <c r="S31" s="54">
        <v>1</v>
      </c>
      <c r="T31" s="55" t="s">
        <v>55</v>
      </c>
      <c r="U31" s="112">
        <v>18</v>
      </c>
      <c r="V31" s="56">
        <f>(AN31-AO31)/(E31)</f>
        <v>5.142857142855714E-3</v>
      </c>
      <c r="W31" s="51">
        <f>((((U31/12)/2)^2)*3.14159)/((U31/12)*3.14159)</f>
        <v>0.37500000000000006</v>
      </c>
      <c r="X31" s="51">
        <f>3.14159*((U31/12)/2)^2</f>
        <v>1.767144375</v>
      </c>
      <c r="Y31" s="53">
        <f>R31</f>
        <v>2.0286000000000004</v>
      </c>
      <c r="Z31" s="56">
        <f>(AE31^2*0.013^2)/(2.208*W31^(4/3))</f>
        <v>3.7312801796807822E-4</v>
      </c>
      <c r="AA31" s="39">
        <f>Z31*E31</f>
        <v>1.3059480628882738E-2</v>
      </c>
      <c r="AB31" s="39">
        <f>AD31+AA31</f>
        <v>534.08523419054291</v>
      </c>
      <c r="AC31" s="39">
        <f>AB15</f>
        <v>533.71455240929345</v>
      </c>
      <c r="AD31" s="110">
        <f>AC31+AK31</f>
        <v>534.07217470991407</v>
      </c>
      <c r="AE31" s="39">
        <f>R31/(((U31/12)/2)^2*3.141)</f>
        <v>1.148169372811207</v>
      </c>
      <c r="AF31" s="39">
        <f>AF15</f>
        <v>4.8672397325692458</v>
      </c>
      <c r="AG31" s="39">
        <f>(AE31^2)/64.4</f>
        <v>2.0470386780460877E-2</v>
      </c>
      <c r="AH31" s="39">
        <f>(AF31^2)/64.4</f>
        <v>0.36785749401088108</v>
      </c>
      <c r="AI31" s="39">
        <v>0.5</v>
      </c>
      <c r="AJ31" s="39">
        <f>AI31*AG31</f>
        <v>1.0235193390230438E-2</v>
      </c>
      <c r="AK31" s="39">
        <f>IF( (AH31-AJ31) &lt; 0,0,(AH31-AJ31))</f>
        <v>0.35762230062065065</v>
      </c>
      <c r="AL31" s="39">
        <v>534.41999999999996</v>
      </c>
      <c r="AM31" s="39">
        <f t="shared" si="62"/>
        <v>0.33476580945705336</v>
      </c>
      <c r="AN31" s="109">
        <v>530</v>
      </c>
      <c r="AO31" s="109">
        <v>529.82000000000005</v>
      </c>
      <c r="AP31" s="179" t="s">
        <v>196</v>
      </c>
      <c r="AR31"/>
      <c r="AS31"/>
      <c r="AT31"/>
      <c r="AU31"/>
    </row>
    <row r="32" spans="2:48" ht="15.75" x14ac:dyDescent="0.25">
      <c r="B32" s="52" t="s">
        <v>184</v>
      </c>
      <c r="C32" s="39" t="s">
        <v>55</v>
      </c>
      <c r="D32" s="39" t="s">
        <v>55</v>
      </c>
      <c r="E32" s="39" t="s">
        <v>55</v>
      </c>
      <c r="F32" s="39" t="s">
        <v>55</v>
      </c>
      <c r="G32" s="39" t="s">
        <v>55</v>
      </c>
      <c r="H32" s="39" t="s">
        <v>55</v>
      </c>
      <c r="I32" s="39" t="s">
        <v>55</v>
      </c>
      <c r="J32" s="39" t="s">
        <v>55</v>
      </c>
      <c r="K32" s="39" t="s">
        <v>55</v>
      </c>
      <c r="L32" s="39" t="s">
        <v>55</v>
      </c>
      <c r="M32" s="39" t="s">
        <v>55</v>
      </c>
      <c r="N32" s="39" t="s">
        <v>55</v>
      </c>
      <c r="O32" s="39" t="s">
        <v>55</v>
      </c>
      <c r="P32" s="39" t="s">
        <v>55</v>
      </c>
      <c r="Q32" s="39" t="s">
        <v>55</v>
      </c>
      <c r="R32" s="39" t="s">
        <v>55</v>
      </c>
      <c r="S32" s="39" t="s">
        <v>55</v>
      </c>
      <c r="T32" s="39" t="s">
        <v>55</v>
      </c>
      <c r="U32" s="39" t="s">
        <v>55</v>
      </c>
      <c r="V32" s="39" t="s">
        <v>55</v>
      </c>
      <c r="W32" s="39" t="s">
        <v>55</v>
      </c>
      <c r="X32" s="39" t="s">
        <v>55</v>
      </c>
      <c r="Y32" s="39" t="s">
        <v>55</v>
      </c>
      <c r="Z32" s="39" t="s">
        <v>55</v>
      </c>
      <c r="AA32" s="39" t="s">
        <v>55</v>
      </c>
      <c r="AB32" s="39">
        <f>AB33+AJ32</f>
        <v>535.18414990777649</v>
      </c>
      <c r="AC32" s="39" t="s">
        <v>55</v>
      </c>
      <c r="AD32" s="39" t="s">
        <v>55</v>
      </c>
      <c r="AE32" s="39">
        <f>AE33</f>
        <v>5.4756446991404015</v>
      </c>
      <c r="AF32" s="39" t="s">
        <v>55</v>
      </c>
      <c r="AG32" s="39" t="s">
        <v>55</v>
      </c>
      <c r="AH32" s="39">
        <f>AG33</f>
        <v>0.46556964085752139</v>
      </c>
      <c r="AI32" s="39">
        <v>1.25</v>
      </c>
      <c r="AJ32" s="39">
        <f>AI32*AH32</f>
        <v>0.58196205107190169</v>
      </c>
      <c r="AK32" s="39" t="s">
        <v>55</v>
      </c>
      <c r="AL32" s="39">
        <v>536.20000000000005</v>
      </c>
      <c r="AM32" s="195">
        <f t="shared" si="62"/>
        <v>1.0158500922235589</v>
      </c>
      <c r="AN32" s="39" t="s">
        <v>55</v>
      </c>
      <c r="AO32" s="39" t="s">
        <v>55</v>
      </c>
      <c r="AP32" s="179" t="s">
        <v>214</v>
      </c>
      <c r="AR32" s="157"/>
      <c r="AS32" s="157"/>
      <c r="AT32" s="157"/>
      <c r="AU32" s="157"/>
    </row>
    <row r="33" spans="2:47" ht="15.75" x14ac:dyDescent="0.25">
      <c r="B33" s="52" t="s">
        <v>184</v>
      </c>
      <c r="C33" s="53">
        <v>10</v>
      </c>
      <c r="D33" s="53">
        <v>0</v>
      </c>
      <c r="E33" s="39">
        <f t="shared" si="51"/>
        <v>10</v>
      </c>
      <c r="F33" s="39">
        <v>1.95</v>
      </c>
      <c r="G33" s="39">
        <f t="shared" ref="G33:G39" si="63">F33</f>
        <v>1.95</v>
      </c>
      <c r="H33" s="39">
        <v>0.9</v>
      </c>
      <c r="I33" s="39">
        <f t="shared" ref="I33:I39" si="64">H33*G33</f>
        <v>1.7549999999999999</v>
      </c>
      <c r="J33" s="39">
        <f t="shared" ref="J33:J39" si="65">I33</f>
        <v>1.7549999999999999</v>
      </c>
      <c r="K33" s="54">
        <v>100</v>
      </c>
      <c r="L33" s="54">
        <v>10</v>
      </c>
      <c r="M33" s="54">
        <v>0</v>
      </c>
      <c r="N33" s="54">
        <f t="shared" si="52"/>
        <v>10</v>
      </c>
      <c r="O33" s="39">
        <v>9.8000000000000007</v>
      </c>
      <c r="P33" s="39">
        <f t="shared" si="53"/>
        <v>17.199000000000002</v>
      </c>
      <c r="Q33" s="54">
        <v>0</v>
      </c>
      <c r="R33" s="39">
        <f t="shared" ref="R33:R39" si="66">P33</f>
        <v>17.199000000000002</v>
      </c>
      <c r="S33" s="54">
        <v>1</v>
      </c>
      <c r="T33" s="55" t="s">
        <v>55</v>
      </c>
      <c r="U33" s="54">
        <v>24</v>
      </c>
      <c r="V33" s="56">
        <f t="shared" si="54"/>
        <v>3.2999999999992723E-2</v>
      </c>
      <c r="W33" s="51">
        <f t="shared" si="55"/>
        <v>0.5</v>
      </c>
      <c r="X33" s="51">
        <f t="shared" si="56"/>
        <v>3.1415899999999999</v>
      </c>
      <c r="Y33" s="53">
        <f t="shared" ref="Y33:Y39" si="67">R33</f>
        <v>17.199000000000002</v>
      </c>
      <c r="Z33" s="56">
        <f t="shared" ref="Z33:Z39" si="68">(AE33^2*0.013^2)/(2.208*W33^(4/3))</f>
        <v>5.7827109334001852E-3</v>
      </c>
      <c r="AA33" s="39">
        <f t="shared" si="57"/>
        <v>5.7827109334001855E-2</v>
      </c>
      <c r="AB33" s="39">
        <f t="shared" ref="AB33:AB39" si="69">AD33+AA33</f>
        <v>534.60218785670463</v>
      </c>
      <c r="AC33" s="39">
        <f>AB13</f>
        <v>534.54436074737066</v>
      </c>
      <c r="AD33" s="39">
        <f t="shared" ref="AD33:AD39" si="70">AC33+AK33</f>
        <v>534.54436074737066</v>
      </c>
      <c r="AE33" s="39">
        <f t="shared" ref="AE33:AE39" si="71">R33/(((U33/12)/2)^2*3.141)</f>
        <v>5.4756446991404015</v>
      </c>
      <c r="AF33" s="39">
        <f>AF13</f>
        <v>3.6691499522445086</v>
      </c>
      <c r="AG33" s="39">
        <f t="shared" si="58"/>
        <v>0.46556964085752139</v>
      </c>
      <c r="AH33" s="39">
        <f t="shared" si="59"/>
        <v>0.20904753683316582</v>
      </c>
      <c r="AI33" s="39">
        <v>0.5</v>
      </c>
      <c r="AJ33" s="39">
        <f t="shared" si="60"/>
        <v>0.2327848204287607</v>
      </c>
      <c r="AK33" s="39">
        <f t="shared" si="61"/>
        <v>0</v>
      </c>
      <c r="AL33" s="39">
        <v>536.20000000000005</v>
      </c>
      <c r="AM33" s="39">
        <f t="shared" si="62"/>
        <v>1.597812143295414</v>
      </c>
      <c r="AN33" s="53">
        <v>531.04999999999995</v>
      </c>
      <c r="AO33" s="53">
        <v>530.72</v>
      </c>
      <c r="AP33" s="179" t="s">
        <v>202</v>
      </c>
      <c r="AR33" s="157"/>
      <c r="AS33" s="157"/>
      <c r="AT33" s="157"/>
      <c r="AU33" s="157"/>
    </row>
    <row r="34" spans="2:47" ht="15.75" x14ac:dyDescent="0.25">
      <c r="B34" s="52" t="s">
        <v>185</v>
      </c>
      <c r="C34" s="53">
        <v>30</v>
      </c>
      <c r="D34" s="53">
        <v>0</v>
      </c>
      <c r="E34" s="39">
        <f t="shared" si="51"/>
        <v>30</v>
      </c>
      <c r="F34" s="39">
        <v>0.05</v>
      </c>
      <c r="G34" s="39">
        <f t="shared" si="63"/>
        <v>0.05</v>
      </c>
      <c r="H34" s="39">
        <v>0.9</v>
      </c>
      <c r="I34" s="39">
        <f t="shared" si="64"/>
        <v>4.5000000000000005E-2</v>
      </c>
      <c r="J34" s="39">
        <f t="shared" si="65"/>
        <v>4.5000000000000005E-2</v>
      </c>
      <c r="K34" s="54">
        <v>100</v>
      </c>
      <c r="L34" s="54">
        <v>10</v>
      </c>
      <c r="M34" s="54">
        <v>0</v>
      </c>
      <c r="N34" s="54">
        <f t="shared" si="52"/>
        <v>10</v>
      </c>
      <c r="O34" s="39">
        <v>9.8000000000000007</v>
      </c>
      <c r="P34" s="39">
        <f t="shared" si="53"/>
        <v>0.44100000000000006</v>
      </c>
      <c r="Q34" s="54">
        <v>0</v>
      </c>
      <c r="R34" s="39">
        <f t="shared" si="66"/>
        <v>0.44100000000000006</v>
      </c>
      <c r="S34" s="54">
        <v>1</v>
      </c>
      <c r="T34" s="55" t="s">
        <v>55</v>
      </c>
      <c r="U34" s="112">
        <v>18</v>
      </c>
      <c r="V34" s="56">
        <f t="shared" si="54"/>
        <v>4.999999999999242E-3</v>
      </c>
      <c r="W34" s="51">
        <f t="shared" si="55"/>
        <v>0.37500000000000006</v>
      </c>
      <c r="X34" s="51">
        <f t="shared" si="56"/>
        <v>1.767144375</v>
      </c>
      <c r="Y34" s="53">
        <f t="shared" si="67"/>
        <v>0.44100000000000006</v>
      </c>
      <c r="Z34" s="56">
        <f t="shared" si="68"/>
        <v>1.7633649242347738E-5</v>
      </c>
      <c r="AA34" s="39">
        <f t="shared" si="57"/>
        <v>5.2900947727043215E-4</v>
      </c>
      <c r="AB34" s="39">
        <f t="shared" si="69"/>
        <v>534.90471767638053</v>
      </c>
      <c r="AC34" s="39">
        <f>AB12</f>
        <v>534.78467110805127</v>
      </c>
      <c r="AD34" s="110">
        <f t="shared" si="70"/>
        <v>534.90418866690322</v>
      </c>
      <c r="AE34" s="39">
        <f t="shared" si="71"/>
        <v>0.24960203756765367</v>
      </c>
      <c r="AF34" s="39">
        <f>AF12</f>
        <v>2.7799426934097426</v>
      </c>
      <c r="AG34" s="39">
        <f t="shared" si="58"/>
        <v>9.6740958319758367E-4</v>
      </c>
      <c r="AH34" s="39">
        <f t="shared" si="59"/>
        <v>0.12000126364351263</v>
      </c>
      <c r="AI34" s="39">
        <v>0.5</v>
      </c>
      <c r="AJ34" s="39">
        <f t="shared" si="60"/>
        <v>4.8370479159879184E-4</v>
      </c>
      <c r="AK34" s="39">
        <f t="shared" si="61"/>
        <v>0.11951755885191384</v>
      </c>
      <c r="AL34" s="39">
        <v>537.1</v>
      </c>
      <c r="AM34" s="39">
        <f t="shared" si="62"/>
        <v>2.1952823236194945</v>
      </c>
      <c r="AN34" s="109">
        <v>531.91999999999996</v>
      </c>
      <c r="AO34" s="109">
        <v>531.77</v>
      </c>
      <c r="AP34" s="179" t="s">
        <v>195</v>
      </c>
      <c r="AR34"/>
      <c r="AS34"/>
      <c r="AT34"/>
      <c r="AU34"/>
    </row>
    <row r="35" spans="2:47" ht="15.75" x14ac:dyDescent="0.25">
      <c r="B35" s="52" t="s">
        <v>186</v>
      </c>
      <c r="C35" s="53">
        <v>30</v>
      </c>
      <c r="D35" s="53">
        <v>0</v>
      </c>
      <c r="E35" s="39">
        <f t="shared" si="51"/>
        <v>30</v>
      </c>
      <c r="F35" s="39">
        <v>0.28000000000000003</v>
      </c>
      <c r="G35" s="39">
        <f t="shared" si="63"/>
        <v>0.28000000000000003</v>
      </c>
      <c r="H35" s="39">
        <v>0.9</v>
      </c>
      <c r="I35" s="39">
        <f t="shared" si="64"/>
        <v>0.25200000000000006</v>
      </c>
      <c r="J35" s="39">
        <f t="shared" si="65"/>
        <v>0.25200000000000006</v>
      </c>
      <c r="K35" s="54">
        <v>100</v>
      </c>
      <c r="L35" s="54">
        <v>10</v>
      </c>
      <c r="M35" s="54">
        <v>0</v>
      </c>
      <c r="N35" s="54">
        <f t="shared" si="52"/>
        <v>10</v>
      </c>
      <c r="O35" s="39">
        <v>9.8000000000000007</v>
      </c>
      <c r="P35" s="39">
        <f t="shared" si="53"/>
        <v>2.4696000000000007</v>
      </c>
      <c r="Q35" s="54">
        <v>0</v>
      </c>
      <c r="R35" s="39">
        <f t="shared" si="66"/>
        <v>2.4696000000000007</v>
      </c>
      <c r="S35" s="54">
        <v>1</v>
      </c>
      <c r="T35" s="55" t="s">
        <v>55</v>
      </c>
      <c r="U35" s="112">
        <v>18</v>
      </c>
      <c r="V35" s="56">
        <f t="shared" si="54"/>
        <v>4.999999999999242E-3</v>
      </c>
      <c r="W35" s="51">
        <f t="shared" si="55"/>
        <v>0.37500000000000006</v>
      </c>
      <c r="X35" s="51">
        <f t="shared" si="56"/>
        <v>1.767144375</v>
      </c>
      <c r="Y35" s="53">
        <f t="shared" si="67"/>
        <v>2.4696000000000007</v>
      </c>
      <c r="Z35" s="56">
        <f t="shared" si="68"/>
        <v>5.5299124024002532E-4</v>
      </c>
      <c r="AA35" s="39">
        <f t="shared" si="57"/>
        <v>1.658973720720076E-2</v>
      </c>
      <c r="AB35" s="39">
        <f t="shared" si="69"/>
        <v>534.98577351065501</v>
      </c>
      <c r="AC35" s="39">
        <f>AB11</f>
        <v>534.87385266343779</v>
      </c>
      <c r="AD35" s="110">
        <f t="shared" si="70"/>
        <v>534.96918377344775</v>
      </c>
      <c r="AE35" s="39">
        <f t="shared" si="71"/>
        <v>1.3977714103788608</v>
      </c>
      <c r="AF35" s="39">
        <f>AF11</f>
        <v>2.6676217765042982</v>
      </c>
      <c r="AG35" s="39">
        <f t="shared" si="58"/>
        <v>3.0337964529076233E-2</v>
      </c>
      <c r="AH35" s="39">
        <f t="shared" si="59"/>
        <v>0.11050009227453335</v>
      </c>
      <c r="AI35" s="39">
        <v>0.5</v>
      </c>
      <c r="AJ35" s="39">
        <f t="shared" si="60"/>
        <v>1.5168982264538116E-2</v>
      </c>
      <c r="AK35" s="39">
        <f t="shared" si="61"/>
        <v>9.5331110009995237E-2</v>
      </c>
      <c r="AL35" s="39">
        <v>537.01</v>
      </c>
      <c r="AM35" s="39">
        <f t="shared" si="62"/>
        <v>2.0242264893449828</v>
      </c>
      <c r="AN35" s="109">
        <v>532.01</v>
      </c>
      <c r="AO35" s="109">
        <v>531.86</v>
      </c>
      <c r="AP35" s="179" t="s">
        <v>203</v>
      </c>
      <c r="AR35"/>
      <c r="AS35"/>
      <c r="AT35"/>
      <c r="AU35"/>
    </row>
    <row r="36" spans="2:47" ht="15" x14ac:dyDescent="0.2">
      <c r="B36" s="52" t="s">
        <v>187</v>
      </c>
      <c r="C36" s="53">
        <v>30</v>
      </c>
      <c r="D36" s="53">
        <v>0</v>
      </c>
      <c r="E36" s="39">
        <f t="shared" si="51"/>
        <v>30</v>
      </c>
      <c r="F36" s="39">
        <v>0.67</v>
      </c>
      <c r="G36" s="39">
        <f t="shared" si="63"/>
        <v>0.67</v>
      </c>
      <c r="H36" s="39">
        <v>0.9</v>
      </c>
      <c r="I36" s="39">
        <f t="shared" si="64"/>
        <v>0.60300000000000009</v>
      </c>
      <c r="J36" s="39">
        <f t="shared" si="65"/>
        <v>0.60300000000000009</v>
      </c>
      <c r="K36" s="54">
        <v>100</v>
      </c>
      <c r="L36" s="54">
        <v>10</v>
      </c>
      <c r="M36" s="54">
        <v>0</v>
      </c>
      <c r="N36" s="54">
        <f t="shared" si="52"/>
        <v>10</v>
      </c>
      <c r="O36" s="39">
        <v>9.8000000000000007</v>
      </c>
      <c r="P36" s="39">
        <f t="shared" si="53"/>
        <v>5.9094000000000015</v>
      </c>
      <c r="Q36" s="54">
        <v>0</v>
      </c>
      <c r="R36" s="39">
        <f t="shared" si="66"/>
        <v>5.9094000000000015</v>
      </c>
      <c r="S36" s="54">
        <v>1</v>
      </c>
      <c r="T36" s="55" t="s">
        <v>55</v>
      </c>
      <c r="U36" s="112">
        <v>18</v>
      </c>
      <c r="V36" s="56">
        <f t="shared" si="54"/>
        <v>4.999999999999242E-3</v>
      </c>
      <c r="W36" s="51">
        <f t="shared" si="55"/>
        <v>0.37500000000000006</v>
      </c>
      <c r="X36" s="51">
        <f t="shared" si="56"/>
        <v>1.767144375</v>
      </c>
      <c r="Y36" s="53">
        <f t="shared" si="67"/>
        <v>5.9094000000000015</v>
      </c>
      <c r="Z36" s="56">
        <f t="shared" si="68"/>
        <v>3.16629805795596E-3</v>
      </c>
      <c r="AA36" s="39">
        <f t="shared" si="57"/>
        <v>9.4988941738678806E-2</v>
      </c>
      <c r="AB36" s="39">
        <f t="shared" si="69"/>
        <v>535.05186053876844</v>
      </c>
      <c r="AC36" s="39">
        <f>AB10</f>
        <v>534.9568715970297</v>
      </c>
      <c r="AD36" s="110">
        <f t="shared" si="70"/>
        <v>534.9568715970297</v>
      </c>
      <c r="AE36" s="39">
        <f t="shared" si="71"/>
        <v>3.3446673034065593</v>
      </c>
      <c r="AF36" s="39">
        <f>AF10</f>
        <v>1.8813753581661896</v>
      </c>
      <c r="AG36" s="39">
        <f t="shared" si="58"/>
        <v>0.17370806475895814</v>
      </c>
      <c r="AH36" s="39">
        <f t="shared" si="59"/>
        <v>5.4962317365139096E-2</v>
      </c>
      <c r="AI36" s="39">
        <v>0.5</v>
      </c>
      <c r="AJ36" s="39">
        <f t="shared" si="60"/>
        <v>8.6854032379479071E-2</v>
      </c>
      <c r="AK36" s="39">
        <f t="shared" si="61"/>
        <v>0</v>
      </c>
      <c r="AL36" s="39">
        <v>538.34</v>
      </c>
      <c r="AM36" s="39">
        <f t="shared" si="62"/>
        <v>3.2881394612315944</v>
      </c>
      <c r="AN36" s="109">
        <v>532.63</v>
      </c>
      <c r="AO36" s="109">
        <v>532.48</v>
      </c>
      <c r="AP36" s="179" t="s">
        <v>203</v>
      </c>
    </row>
    <row r="37" spans="2:47" ht="15" x14ac:dyDescent="0.2">
      <c r="B37" s="52" t="s">
        <v>188</v>
      </c>
      <c r="C37" s="53">
        <v>25</v>
      </c>
      <c r="D37" s="53">
        <v>0</v>
      </c>
      <c r="E37" s="39">
        <f t="shared" si="51"/>
        <v>25</v>
      </c>
      <c r="F37" s="39">
        <v>0.85</v>
      </c>
      <c r="G37" s="39">
        <f t="shared" si="63"/>
        <v>0.85</v>
      </c>
      <c r="H37" s="39">
        <v>0.9</v>
      </c>
      <c r="I37" s="39">
        <f t="shared" si="64"/>
        <v>0.76500000000000001</v>
      </c>
      <c r="J37" s="39">
        <f t="shared" si="65"/>
        <v>0.76500000000000001</v>
      </c>
      <c r="K37" s="54">
        <v>100</v>
      </c>
      <c r="L37" s="54">
        <v>10</v>
      </c>
      <c r="M37" s="54">
        <v>0</v>
      </c>
      <c r="N37" s="54">
        <f t="shared" si="52"/>
        <v>10</v>
      </c>
      <c r="O37" s="39">
        <v>9.8000000000000007</v>
      </c>
      <c r="P37" s="39">
        <f t="shared" si="53"/>
        <v>7.4970000000000008</v>
      </c>
      <c r="Q37" s="54">
        <v>0</v>
      </c>
      <c r="R37" s="39">
        <f t="shared" si="66"/>
        <v>7.4970000000000008</v>
      </c>
      <c r="S37" s="54">
        <v>1</v>
      </c>
      <c r="T37" s="55" t="s">
        <v>55</v>
      </c>
      <c r="U37" s="112">
        <v>18</v>
      </c>
      <c r="V37" s="56">
        <f t="shared" si="54"/>
        <v>5.2000000000043652E-3</v>
      </c>
      <c r="W37" s="51">
        <f t="shared" si="55"/>
        <v>0.37500000000000006</v>
      </c>
      <c r="X37" s="51">
        <f t="shared" si="56"/>
        <v>1.767144375</v>
      </c>
      <c r="Y37" s="53">
        <f t="shared" si="67"/>
        <v>7.4970000000000008</v>
      </c>
      <c r="Z37" s="56">
        <f t="shared" si="68"/>
        <v>5.0961246310384971E-3</v>
      </c>
      <c r="AA37" s="39">
        <f t="shared" si="57"/>
        <v>0.12740311577596242</v>
      </c>
      <c r="AB37" s="39">
        <f t="shared" si="69"/>
        <v>533.6160861335303</v>
      </c>
      <c r="AC37" s="39">
        <f>AB16</f>
        <v>533.08279423450392</v>
      </c>
      <c r="AD37" s="110">
        <f t="shared" si="70"/>
        <v>533.48868301775428</v>
      </c>
      <c r="AE37" s="39">
        <f t="shared" si="71"/>
        <v>4.2432346386501125</v>
      </c>
      <c r="AF37" s="39">
        <f>AF16</f>
        <v>5.9280483922317737</v>
      </c>
      <c r="AG37" s="39">
        <f t="shared" si="58"/>
        <v>0.27958136954410173</v>
      </c>
      <c r="AH37" s="39">
        <f t="shared" si="59"/>
        <v>0.54567946802238687</v>
      </c>
      <c r="AI37" s="39">
        <v>0.5</v>
      </c>
      <c r="AJ37" s="39">
        <f t="shared" si="60"/>
        <v>0.13979068477205087</v>
      </c>
      <c r="AK37" s="39">
        <f t="shared" si="61"/>
        <v>0.405888783250336</v>
      </c>
      <c r="AL37" s="39">
        <v>534.28</v>
      </c>
      <c r="AM37" s="39">
        <f t="shared" si="62"/>
        <v>0.66391386646967021</v>
      </c>
      <c r="AN37" s="109">
        <v>529.44000000000005</v>
      </c>
      <c r="AO37" s="109">
        <v>529.30999999999995</v>
      </c>
      <c r="AP37" s="179" t="s">
        <v>196</v>
      </c>
    </row>
    <row r="38" spans="2:47" ht="15" x14ac:dyDescent="0.2">
      <c r="B38" s="52" t="s">
        <v>190</v>
      </c>
      <c r="C38" s="53">
        <v>31</v>
      </c>
      <c r="D38" s="53">
        <v>0</v>
      </c>
      <c r="E38" s="39">
        <f t="shared" si="51"/>
        <v>31</v>
      </c>
      <c r="F38" s="39">
        <v>0.78</v>
      </c>
      <c r="G38" s="39">
        <f t="shared" si="63"/>
        <v>0.78</v>
      </c>
      <c r="H38" s="39">
        <v>0.9</v>
      </c>
      <c r="I38" s="39">
        <f t="shared" si="64"/>
        <v>0.70200000000000007</v>
      </c>
      <c r="J38" s="39">
        <f t="shared" si="65"/>
        <v>0.70200000000000007</v>
      </c>
      <c r="K38" s="54">
        <v>100</v>
      </c>
      <c r="L38" s="54">
        <v>10</v>
      </c>
      <c r="M38" s="54">
        <v>0</v>
      </c>
      <c r="N38" s="54">
        <f t="shared" si="52"/>
        <v>10</v>
      </c>
      <c r="O38" s="39">
        <v>9.8000000000000007</v>
      </c>
      <c r="P38" s="39">
        <f t="shared" si="53"/>
        <v>6.8796000000000008</v>
      </c>
      <c r="Q38" s="54">
        <v>0</v>
      </c>
      <c r="R38" s="39">
        <f t="shared" si="66"/>
        <v>6.8796000000000008</v>
      </c>
      <c r="S38" s="54">
        <v>1</v>
      </c>
      <c r="T38" s="55" t="s">
        <v>55</v>
      </c>
      <c r="U38" s="112">
        <v>18</v>
      </c>
      <c r="V38" s="56">
        <f t="shared" si="54"/>
        <v>5.1612903225796182E-3</v>
      </c>
      <c r="W38" s="51">
        <f t="shared" si="55"/>
        <v>0.37500000000000006</v>
      </c>
      <c r="X38" s="51">
        <f t="shared" si="56"/>
        <v>1.767144375</v>
      </c>
      <c r="Y38" s="53">
        <f t="shared" si="67"/>
        <v>6.8796000000000008</v>
      </c>
      <c r="Z38" s="56">
        <f t="shared" si="68"/>
        <v>4.291324879617745E-3</v>
      </c>
      <c r="AA38" s="39">
        <f t="shared" si="57"/>
        <v>0.13303107126815009</v>
      </c>
      <c r="AB38" s="39">
        <f t="shared" si="69"/>
        <v>533.10136443141812</v>
      </c>
      <c r="AC38" s="39">
        <f>AB18</f>
        <v>532.34644136516329</v>
      </c>
      <c r="AD38" s="110">
        <f t="shared" si="70"/>
        <v>532.96833336014993</v>
      </c>
      <c r="AE38" s="39">
        <f t="shared" si="71"/>
        <v>3.893791786055397</v>
      </c>
      <c r="AF38" s="39">
        <f>AF18</f>
        <v>6.9014963387456234</v>
      </c>
      <c r="AG38" s="39">
        <f t="shared" si="58"/>
        <v>0.23542879616696394</v>
      </c>
      <c r="AH38" s="39">
        <f t="shared" si="59"/>
        <v>0.73960639307017451</v>
      </c>
      <c r="AI38" s="39">
        <v>0.5</v>
      </c>
      <c r="AJ38" s="39">
        <f t="shared" si="60"/>
        <v>0.11771439808348197</v>
      </c>
      <c r="AK38" s="39">
        <f t="shared" si="61"/>
        <v>0.62189199498669256</v>
      </c>
      <c r="AL38" s="39">
        <v>534.01</v>
      </c>
      <c r="AM38" s="39">
        <f t="shared" si="62"/>
        <v>0.90863556858187167</v>
      </c>
      <c r="AN38" s="109">
        <v>529.4</v>
      </c>
      <c r="AO38" s="109">
        <v>529.24</v>
      </c>
      <c r="AP38" s="179" t="s">
        <v>196</v>
      </c>
    </row>
    <row r="39" spans="2:47" ht="15.75" thickBot="1" x14ac:dyDescent="0.25">
      <c r="B39" s="42" t="s">
        <v>189</v>
      </c>
      <c r="C39" s="43">
        <v>28</v>
      </c>
      <c r="D39" s="43">
        <v>0</v>
      </c>
      <c r="E39" s="40">
        <f t="shared" si="51"/>
        <v>28</v>
      </c>
      <c r="F39" s="40">
        <v>0.28000000000000003</v>
      </c>
      <c r="G39" s="40">
        <f t="shared" si="63"/>
        <v>0.28000000000000003</v>
      </c>
      <c r="H39" s="40">
        <v>0.9</v>
      </c>
      <c r="I39" s="40">
        <f t="shared" si="64"/>
        <v>0.25200000000000006</v>
      </c>
      <c r="J39" s="40">
        <f t="shared" si="65"/>
        <v>0.25200000000000006</v>
      </c>
      <c r="K39" s="44">
        <v>100</v>
      </c>
      <c r="L39" s="44">
        <v>10</v>
      </c>
      <c r="M39" s="44">
        <v>0</v>
      </c>
      <c r="N39" s="44">
        <f t="shared" si="52"/>
        <v>10</v>
      </c>
      <c r="O39" s="40">
        <v>9.8000000000000007</v>
      </c>
      <c r="P39" s="40">
        <f t="shared" si="53"/>
        <v>2.4696000000000007</v>
      </c>
      <c r="Q39" s="44">
        <v>0</v>
      </c>
      <c r="R39" s="40">
        <f t="shared" si="66"/>
        <v>2.4696000000000007</v>
      </c>
      <c r="S39" s="44">
        <v>1</v>
      </c>
      <c r="T39" s="45" t="s">
        <v>55</v>
      </c>
      <c r="U39" s="125">
        <v>18</v>
      </c>
      <c r="V39" s="46">
        <f t="shared" si="54"/>
        <v>2.2857142857142371E-2</v>
      </c>
      <c r="W39" s="47">
        <f t="shared" si="55"/>
        <v>0.37500000000000006</v>
      </c>
      <c r="X39" s="47">
        <f t="shared" si="56"/>
        <v>1.767144375</v>
      </c>
      <c r="Y39" s="43">
        <f t="shared" si="67"/>
        <v>2.4696000000000007</v>
      </c>
      <c r="Z39" s="46">
        <f t="shared" si="68"/>
        <v>5.5299124024002532E-4</v>
      </c>
      <c r="AA39" s="40">
        <f t="shared" si="57"/>
        <v>1.5483754726720709E-2</v>
      </c>
      <c r="AB39" s="40">
        <f t="shared" si="69"/>
        <v>534.93720561790235</v>
      </c>
      <c r="AC39" s="40">
        <f>AB26</f>
        <v>534.73067781868576</v>
      </c>
      <c r="AD39" s="111">
        <f t="shared" si="70"/>
        <v>534.92172186317566</v>
      </c>
      <c r="AE39" s="40">
        <f t="shared" si="71"/>
        <v>1.3977714103788608</v>
      </c>
      <c r="AF39" s="40">
        <f>AF26</f>
        <v>3.6441897484877437</v>
      </c>
      <c r="AG39" s="40">
        <f t="shared" si="58"/>
        <v>3.0337964529076233E-2</v>
      </c>
      <c r="AH39" s="40">
        <f t="shared" si="59"/>
        <v>0.20621302675439696</v>
      </c>
      <c r="AI39" s="40">
        <v>0.5</v>
      </c>
      <c r="AJ39" s="40">
        <f t="shared" si="60"/>
        <v>1.5168982264538116E-2</v>
      </c>
      <c r="AK39" s="40">
        <f t="shared" si="61"/>
        <v>0.19104404448985884</v>
      </c>
      <c r="AL39" s="40">
        <v>538.1</v>
      </c>
      <c r="AM39" s="40">
        <f t="shared" si="62"/>
        <v>3.1627943820976725</v>
      </c>
      <c r="AN39" s="119">
        <v>531.28</v>
      </c>
      <c r="AO39" s="119">
        <v>530.64</v>
      </c>
      <c r="AP39" s="183" t="s">
        <v>203</v>
      </c>
    </row>
    <row r="64" ht="15" thickBot="1" x14ac:dyDescent="0.25"/>
    <row r="65" spans="2:43" ht="18.75" thickBot="1" x14ac:dyDescent="0.3">
      <c r="B65" s="57" t="s">
        <v>7</v>
      </c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124"/>
      <c r="V65" s="38"/>
      <c r="W65" s="38"/>
      <c r="X65" s="38"/>
      <c r="Y65" s="38"/>
      <c r="Z65" s="38"/>
      <c r="AA65" s="38"/>
      <c r="AB65" s="38"/>
      <c r="AC65" s="38"/>
      <c r="AD65" s="124"/>
      <c r="AE65" s="38"/>
      <c r="AF65" s="38"/>
      <c r="AG65" s="38"/>
      <c r="AH65" s="38"/>
      <c r="AI65" s="38"/>
      <c r="AJ65" s="38"/>
      <c r="AK65" s="38"/>
      <c r="AL65" s="38"/>
      <c r="AM65" s="124"/>
      <c r="AN65" s="124"/>
      <c r="AO65" s="124"/>
      <c r="AP65" s="64"/>
      <c r="AQ65" s="64"/>
    </row>
    <row r="66" spans="2:43" ht="15.75" thickBot="1" x14ac:dyDescent="0.25">
      <c r="B66" s="149" t="s">
        <v>51</v>
      </c>
      <c r="C66" s="150">
        <v>257.33</v>
      </c>
      <c r="D66" s="150">
        <f>C67</f>
        <v>4</v>
      </c>
      <c r="E66" s="129">
        <f>C66-D66</f>
        <v>253.32999999999998</v>
      </c>
      <c r="F66" s="145" t="s">
        <v>55</v>
      </c>
      <c r="G66" s="145" t="s">
        <v>55</v>
      </c>
      <c r="H66" s="145" t="s">
        <v>55</v>
      </c>
      <c r="I66" s="145" t="s">
        <v>55</v>
      </c>
      <c r="J66" s="145" t="s">
        <v>55</v>
      </c>
      <c r="K66" s="145" t="s">
        <v>55</v>
      </c>
      <c r="L66" s="145" t="s">
        <v>55</v>
      </c>
      <c r="M66" s="145" t="s">
        <v>55</v>
      </c>
      <c r="N66" s="145" t="s">
        <v>55</v>
      </c>
      <c r="O66" s="145" t="s">
        <v>55</v>
      </c>
      <c r="P66" s="145">
        <v>24.57</v>
      </c>
      <c r="Q66" s="151">
        <v>0</v>
      </c>
      <c r="R66" s="145">
        <f t="shared" ref="R66:R67" si="72">P66</f>
        <v>24.57</v>
      </c>
      <c r="S66" s="151">
        <v>1</v>
      </c>
      <c r="T66" s="152" t="s">
        <v>55</v>
      </c>
      <c r="U66" s="153">
        <v>24</v>
      </c>
      <c r="V66" s="154">
        <f t="shared" ref="V66:V67" si="73">(AN66-AO66)/(E66)</f>
        <v>1.0500138159712952E-2</v>
      </c>
      <c r="W66" s="155">
        <f t="shared" ref="W66:W67" si="74">((((U66/12)/2)^2)*3.14159)/((U66/12)*3.14159)</f>
        <v>0.5</v>
      </c>
      <c r="X66" s="155">
        <f t="shared" ref="X66:X67" si="75">3.14159*((U66/12)/2)^2</f>
        <v>3.1415899999999999</v>
      </c>
      <c r="Y66" s="150">
        <f t="shared" ref="Y66:Y67" si="76">R66</f>
        <v>24.57</v>
      </c>
      <c r="Z66" s="133">
        <f>(AE66^2*0.013^2)/(2.208*W66^(4/3))</f>
        <v>1.1801450884490172E-2</v>
      </c>
      <c r="AA66" s="145">
        <f t="shared" ref="AA66:AA67" si="77">Z66*E66</f>
        <v>2.9896615525678949</v>
      </c>
      <c r="AB66" s="145">
        <f>AC66+AA66</f>
        <v>561.64759424741635</v>
      </c>
      <c r="AC66" s="145">
        <f>AD67</f>
        <v>558.65793269484845</v>
      </c>
      <c r="AD66" s="146">
        <f>IF(AK66&gt;0,AB66+AK66,AB66)</f>
        <v>563.07280743371484</v>
      </c>
      <c r="AE66" s="129">
        <f>R66/(((U66/12)/2)^2*3.141)</f>
        <v>7.822349570200573</v>
      </c>
      <c r="AF66" s="145">
        <f>AE67</f>
        <v>7.822349570200573</v>
      </c>
      <c r="AG66" s="129">
        <f>(AE66^2)/64.4</f>
        <v>0.95014212419902311</v>
      </c>
      <c r="AH66" s="145">
        <f t="shared" ref="AH66" si="78">(AF66^2)/64.4</f>
        <v>0.95014212419902311</v>
      </c>
      <c r="AI66" s="145">
        <v>1.5</v>
      </c>
      <c r="AJ66" s="145">
        <f>AI66*AG66</f>
        <v>1.4252131862985347</v>
      </c>
      <c r="AK66" s="145">
        <f>AJ66</f>
        <v>1.4252131862985347</v>
      </c>
      <c r="AL66" s="145">
        <v>566</v>
      </c>
      <c r="AM66" s="156">
        <f t="shared" ref="AM66:AM67" si="79">AL66-AD66</f>
        <v>2.9271925662851572</v>
      </c>
      <c r="AN66" s="156">
        <v>554.20000000000005</v>
      </c>
      <c r="AO66" s="156">
        <f>AN67</f>
        <v>551.54</v>
      </c>
      <c r="AP66" s="136" t="s">
        <v>65</v>
      </c>
      <c r="AQ66" s="58"/>
    </row>
    <row r="67" spans="2:43" ht="15.75" thickBot="1" x14ac:dyDescent="0.25">
      <c r="B67" s="42" t="s">
        <v>52</v>
      </c>
      <c r="C67" s="43">
        <v>4</v>
      </c>
      <c r="D67" s="43">
        <v>0</v>
      </c>
      <c r="E67" s="40">
        <f>C67-D67</f>
        <v>4</v>
      </c>
      <c r="F67" s="40" t="s">
        <v>55</v>
      </c>
      <c r="G67" s="40" t="s">
        <v>55</v>
      </c>
      <c r="H67" s="40" t="s">
        <v>55</v>
      </c>
      <c r="I67" s="40" t="s">
        <v>55</v>
      </c>
      <c r="J67" s="40" t="s">
        <v>55</v>
      </c>
      <c r="K67" s="40" t="s">
        <v>55</v>
      </c>
      <c r="L67" s="40" t="s">
        <v>55</v>
      </c>
      <c r="M67" s="40" t="s">
        <v>55</v>
      </c>
      <c r="N67" s="40" t="s">
        <v>55</v>
      </c>
      <c r="O67" s="40" t="s">
        <v>55</v>
      </c>
      <c r="P67" s="40">
        <v>24.57</v>
      </c>
      <c r="Q67" s="44">
        <v>0</v>
      </c>
      <c r="R67" s="40">
        <f t="shared" si="72"/>
        <v>24.57</v>
      </c>
      <c r="S67" s="44">
        <v>1</v>
      </c>
      <c r="T67" s="45" t="s">
        <v>55</v>
      </c>
      <c r="U67" s="125">
        <v>24</v>
      </c>
      <c r="V67" s="46">
        <f t="shared" si="73"/>
        <v>9.9999999999909051E-3</v>
      </c>
      <c r="W67" s="47">
        <f t="shared" si="74"/>
        <v>0.5</v>
      </c>
      <c r="X67" s="47">
        <f t="shared" si="75"/>
        <v>3.1415899999999999</v>
      </c>
      <c r="Y67" s="43">
        <f t="shared" si="76"/>
        <v>24.57</v>
      </c>
      <c r="Z67" s="46">
        <f>(AE67^2*0.013^2)/(2.208*W67^(4/3))</f>
        <v>1.1801450884490172E-2</v>
      </c>
      <c r="AA67" s="40">
        <f t="shared" si="77"/>
        <v>4.7205803537960687E-2</v>
      </c>
      <c r="AB67" s="40">
        <f>AC67+AA67</f>
        <v>558.47720580353791</v>
      </c>
      <c r="AC67" s="40">
        <v>558.42999999999995</v>
      </c>
      <c r="AD67" s="111">
        <f>AB67+AK67</f>
        <v>558.65793269484845</v>
      </c>
      <c r="AE67" s="40">
        <f>R67/(((U67/12)/2)^2*3.141)</f>
        <v>7.822349570200573</v>
      </c>
      <c r="AF67" s="40">
        <v>5.19</v>
      </c>
      <c r="AG67" s="40">
        <f>(AE67^2)/64.4</f>
        <v>0.95014212419902311</v>
      </c>
      <c r="AH67" s="40">
        <f>(AF67^2)/64.4</f>
        <v>0.41826242236024846</v>
      </c>
      <c r="AI67" s="40">
        <v>0.25</v>
      </c>
      <c r="AJ67" s="40">
        <f>AI67*AG67</f>
        <v>0.23753553104975578</v>
      </c>
      <c r="AK67" s="40">
        <f>AH67-AJ67</f>
        <v>0.18072689131049269</v>
      </c>
      <c r="AL67" s="40">
        <v>564.5</v>
      </c>
      <c r="AM67" s="119">
        <f t="shared" si="79"/>
        <v>5.842067305151545</v>
      </c>
      <c r="AN67" s="119">
        <v>551.54</v>
      </c>
      <c r="AO67" s="119">
        <v>551.5</v>
      </c>
      <c r="AP67" s="58" t="s">
        <v>64</v>
      </c>
      <c r="AQ67" s="58"/>
    </row>
  </sheetData>
  <mergeCells count="16">
    <mergeCell ref="AP5:AP7"/>
    <mergeCell ref="B3:AP3"/>
    <mergeCell ref="B4:AP4"/>
    <mergeCell ref="B5:B6"/>
    <mergeCell ref="C5:C6"/>
    <mergeCell ref="D5:D6"/>
    <mergeCell ref="E5:E6"/>
    <mergeCell ref="F5:J5"/>
    <mergeCell ref="K5:O5"/>
    <mergeCell ref="P5:R5"/>
    <mergeCell ref="S5:Y5"/>
    <mergeCell ref="Z5:AA5"/>
    <mergeCell ref="AB5:AD5"/>
    <mergeCell ref="AE5:AF5"/>
    <mergeCell ref="AG5:AK5"/>
    <mergeCell ref="AL5:AO5"/>
  </mergeCells>
  <pageMargins left="0" right="0" top="2.5" bottom="1" header="0.5" footer="0.5"/>
  <pageSetup fitToHeight="0" orientation="portrait" r:id="rId1"/>
  <ignoredErrors>
    <ignoredError sqref="AB32 AE32 AH32 AJ3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35"/>
  <sheetViews>
    <sheetView showGridLines="0" topLeftCell="A10" workbookViewId="0">
      <selection activeCell="Q23" sqref="Q23"/>
    </sheetView>
  </sheetViews>
  <sheetFormatPr defaultRowHeight="15" x14ac:dyDescent="0.25"/>
  <cols>
    <col min="3" max="3" width="11.28515625" customWidth="1"/>
    <col min="4" max="4" width="11.28515625" hidden="1" customWidth="1"/>
    <col min="5" max="5" width="11.28515625" customWidth="1"/>
    <col min="8" max="13" width="0" hidden="1" customWidth="1"/>
    <col min="16" max="16" width="0" hidden="1" customWidth="1"/>
  </cols>
  <sheetData>
    <row r="3" spans="2:31" ht="15.75" thickBot="1" x14ac:dyDescent="0.3"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</row>
    <row r="4" spans="2:31" ht="19.5" thickBot="1" x14ac:dyDescent="0.35">
      <c r="B4" s="90"/>
      <c r="C4" s="211" t="s">
        <v>164</v>
      </c>
      <c r="D4" s="212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91"/>
      <c r="S4" s="91"/>
      <c r="T4" s="91"/>
      <c r="U4" s="92"/>
      <c r="V4" s="90"/>
    </row>
    <row r="5" spans="2:31" ht="31.5" x14ac:dyDescent="0.25">
      <c r="B5" s="90"/>
      <c r="C5" s="93" t="s">
        <v>125</v>
      </c>
      <c r="D5" s="94" t="s">
        <v>126</v>
      </c>
      <c r="E5" s="94" t="s">
        <v>127</v>
      </c>
      <c r="F5" s="94" t="s">
        <v>53</v>
      </c>
      <c r="G5" s="94" t="s">
        <v>128</v>
      </c>
      <c r="H5" s="94" t="s">
        <v>129</v>
      </c>
      <c r="I5" s="94" t="s">
        <v>130</v>
      </c>
      <c r="J5" s="94" t="s">
        <v>131</v>
      </c>
      <c r="K5" s="94" t="s">
        <v>132</v>
      </c>
      <c r="L5" s="94" t="s">
        <v>133</v>
      </c>
      <c r="M5" s="94" t="s">
        <v>134</v>
      </c>
      <c r="N5" s="94" t="s">
        <v>135</v>
      </c>
      <c r="O5" s="94" t="s">
        <v>136</v>
      </c>
      <c r="P5" s="95" t="s">
        <v>137</v>
      </c>
      <c r="Q5" s="214" t="s">
        <v>138</v>
      </c>
      <c r="R5" s="215"/>
      <c r="S5" s="215"/>
      <c r="T5" s="215"/>
      <c r="U5" s="216"/>
      <c r="V5" s="90"/>
      <c r="Y5" s="148"/>
    </row>
    <row r="6" spans="2:31" ht="16.5" thickBot="1" x14ac:dyDescent="0.3">
      <c r="B6" s="90"/>
      <c r="C6" s="96">
        <v>1</v>
      </c>
      <c r="D6" s="97">
        <v>34435.5</v>
      </c>
      <c r="E6" s="98">
        <v>0.84</v>
      </c>
      <c r="F6" s="98">
        <v>0.9</v>
      </c>
      <c r="G6" s="99">
        <v>10</v>
      </c>
      <c r="H6" s="99">
        <v>3.36</v>
      </c>
      <c r="I6" s="100">
        <f>E6*F6*H6</f>
        <v>2.5401599999999998</v>
      </c>
      <c r="J6" s="99">
        <v>5.52</v>
      </c>
      <c r="K6" s="100">
        <f>E6*F6*J6</f>
        <v>4.1731199999999999</v>
      </c>
      <c r="L6" s="99">
        <v>6.96</v>
      </c>
      <c r="M6" s="100">
        <f>E6*F6*L6</f>
        <v>5.2617599999999998</v>
      </c>
      <c r="N6" s="98">
        <v>9.8000000000000007</v>
      </c>
      <c r="O6" s="98">
        <f t="shared" ref="O6:O31" si="0">F6*$N6*$E6</f>
        <v>7.4088000000000003</v>
      </c>
      <c r="P6" s="101">
        <v>1</v>
      </c>
      <c r="Q6" s="106" t="s">
        <v>139</v>
      </c>
      <c r="R6" s="102"/>
      <c r="S6" s="103"/>
      <c r="T6" s="103"/>
      <c r="U6" s="104"/>
      <c r="V6" s="90"/>
      <c r="Y6">
        <v>0.35</v>
      </c>
      <c r="Z6" s="148">
        <f>Y6*N6*E6</f>
        <v>2.8812000000000002</v>
      </c>
      <c r="AB6" s="96">
        <v>1</v>
      </c>
      <c r="AC6">
        <v>36249.93</v>
      </c>
      <c r="AD6">
        <f>AC6/43560</f>
        <v>0.83218388429752066</v>
      </c>
      <c r="AE6">
        <v>0.84</v>
      </c>
    </row>
    <row r="7" spans="2:31" ht="16.5" thickBot="1" x14ac:dyDescent="0.3">
      <c r="B7" s="90"/>
      <c r="C7" s="96">
        <f>C6+1</f>
        <v>2</v>
      </c>
      <c r="D7" s="97">
        <v>119867.7</v>
      </c>
      <c r="E7" s="98">
        <v>1.27</v>
      </c>
      <c r="F7" s="98">
        <v>0.9</v>
      </c>
      <c r="G7" s="99">
        <v>10</v>
      </c>
      <c r="H7" s="99">
        <v>3.36</v>
      </c>
      <c r="I7" s="100">
        <f t="shared" ref="I7:I22" si="1">E7*F7*H7</f>
        <v>3.8404799999999999</v>
      </c>
      <c r="J7" s="99">
        <v>6.52</v>
      </c>
      <c r="K7" s="100">
        <f t="shared" ref="K7:K22" si="2">E7*F7*J7</f>
        <v>7.4523599999999997</v>
      </c>
      <c r="L7" s="99">
        <v>7.96</v>
      </c>
      <c r="M7" s="100">
        <f t="shared" ref="M7:M22" si="3">E7*F7*L7</f>
        <v>9.0982800000000008</v>
      </c>
      <c r="N7" s="98">
        <v>9.8000000000000007</v>
      </c>
      <c r="O7" s="98">
        <f t="shared" si="0"/>
        <v>11.201400000000001</v>
      </c>
      <c r="P7" s="101">
        <v>2</v>
      </c>
      <c r="Q7" s="106" t="s">
        <v>141</v>
      </c>
      <c r="R7" s="102"/>
      <c r="S7" s="103"/>
      <c r="T7" s="103"/>
      <c r="U7" s="104"/>
      <c r="V7" s="105"/>
      <c r="Y7">
        <v>0.35</v>
      </c>
      <c r="Z7" s="148">
        <f t="shared" ref="Z7:Z22" si="4">Y7*N7*E7</f>
        <v>4.3561000000000005</v>
      </c>
      <c r="AB7" s="96">
        <f>AB6+1</f>
        <v>2</v>
      </c>
      <c r="AC7">
        <v>55321.2</v>
      </c>
      <c r="AD7">
        <f t="shared" ref="AD7:AD28" si="5">AC7/43560</f>
        <v>1.27</v>
      </c>
      <c r="AE7">
        <v>1.27</v>
      </c>
    </row>
    <row r="8" spans="2:31" ht="16.5" thickBot="1" x14ac:dyDescent="0.3">
      <c r="C8" s="96">
        <f t="shared" ref="C8:C28" si="6">C7+1</f>
        <v>3</v>
      </c>
      <c r="D8" s="97">
        <v>17520</v>
      </c>
      <c r="E8" s="98">
        <v>0.38</v>
      </c>
      <c r="F8" s="98">
        <v>0.9</v>
      </c>
      <c r="G8" s="99">
        <v>10</v>
      </c>
      <c r="H8" s="99">
        <v>3.36</v>
      </c>
      <c r="I8" s="100">
        <f t="shared" si="1"/>
        <v>1.1491200000000001</v>
      </c>
      <c r="J8" s="99">
        <v>7.52</v>
      </c>
      <c r="K8" s="100">
        <f t="shared" si="2"/>
        <v>2.5718399999999999</v>
      </c>
      <c r="L8" s="99">
        <v>8.9600000000000009</v>
      </c>
      <c r="M8" s="100">
        <f t="shared" si="3"/>
        <v>3.0643200000000004</v>
      </c>
      <c r="N8" s="98">
        <v>9.8000000000000007</v>
      </c>
      <c r="O8" s="98">
        <f t="shared" si="0"/>
        <v>3.3516000000000004</v>
      </c>
      <c r="P8" s="101">
        <v>3</v>
      </c>
      <c r="Q8" s="106" t="s">
        <v>208</v>
      </c>
      <c r="R8" s="102"/>
      <c r="S8" s="103"/>
      <c r="T8" s="103"/>
      <c r="U8" s="104"/>
      <c r="Y8">
        <v>0.35</v>
      </c>
      <c r="Z8" s="148">
        <f t="shared" si="4"/>
        <v>1.3034000000000001</v>
      </c>
      <c r="AB8" s="96">
        <f t="shared" ref="AB8:AB28" si="7">AB7+1</f>
        <v>3</v>
      </c>
      <c r="AC8">
        <v>16658.09</v>
      </c>
      <c r="AD8">
        <f t="shared" si="5"/>
        <v>0.38241712580348947</v>
      </c>
      <c r="AE8">
        <v>0.38</v>
      </c>
    </row>
    <row r="9" spans="2:31" ht="16.5" thickBot="1" x14ac:dyDescent="0.3">
      <c r="C9" s="96">
        <f t="shared" si="6"/>
        <v>4</v>
      </c>
      <c r="D9" s="97">
        <v>10007</v>
      </c>
      <c r="E9" s="98">
        <v>0.23</v>
      </c>
      <c r="F9" s="98">
        <v>0.9</v>
      </c>
      <c r="G9" s="99">
        <v>10</v>
      </c>
      <c r="H9" s="99">
        <v>3.36</v>
      </c>
      <c r="I9" s="100">
        <f t="shared" si="1"/>
        <v>0.69552000000000003</v>
      </c>
      <c r="J9" s="99">
        <v>8.52</v>
      </c>
      <c r="K9" s="100">
        <f t="shared" si="2"/>
        <v>1.7636400000000001</v>
      </c>
      <c r="L9" s="99">
        <v>9.9600000000000009</v>
      </c>
      <c r="M9" s="100">
        <f t="shared" si="3"/>
        <v>2.0617200000000002</v>
      </c>
      <c r="N9" s="98">
        <v>9.8000000000000007</v>
      </c>
      <c r="O9" s="98">
        <f t="shared" si="0"/>
        <v>2.0286</v>
      </c>
      <c r="P9" s="101">
        <v>4</v>
      </c>
      <c r="Q9" s="106" t="s">
        <v>209</v>
      </c>
      <c r="R9" s="102"/>
      <c r="S9" s="103"/>
      <c r="T9" s="103"/>
      <c r="U9" s="104"/>
      <c r="Y9">
        <v>0.35</v>
      </c>
      <c r="Z9" s="148">
        <f t="shared" si="4"/>
        <v>0.78890000000000005</v>
      </c>
      <c r="AB9" s="96">
        <f t="shared" si="7"/>
        <v>4</v>
      </c>
      <c r="AC9">
        <v>10007.32</v>
      </c>
      <c r="AD9">
        <f t="shared" si="5"/>
        <v>0.22973645546372817</v>
      </c>
      <c r="AE9">
        <v>0.23</v>
      </c>
    </row>
    <row r="10" spans="2:31" ht="16.5" thickBot="1" x14ac:dyDescent="0.3">
      <c r="C10" s="96">
        <f t="shared" si="6"/>
        <v>5</v>
      </c>
      <c r="D10" s="97">
        <v>12064.2</v>
      </c>
      <c r="E10" s="98">
        <v>0.28000000000000003</v>
      </c>
      <c r="F10" s="98">
        <v>0.9</v>
      </c>
      <c r="G10" s="99">
        <v>10</v>
      </c>
      <c r="H10" s="99">
        <v>3.36</v>
      </c>
      <c r="I10" s="100">
        <f t="shared" si="1"/>
        <v>0.84672000000000014</v>
      </c>
      <c r="J10" s="99">
        <v>9.52</v>
      </c>
      <c r="K10" s="100">
        <f t="shared" si="2"/>
        <v>2.3990400000000003</v>
      </c>
      <c r="L10" s="99">
        <v>10.96</v>
      </c>
      <c r="M10" s="100">
        <f t="shared" si="3"/>
        <v>2.7619200000000008</v>
      </c>
      <c r="N10" s="98">
        <v>9.8000000000000007</v>
      </c>
      <c r="O10" s="98">
        <f t="shared" si="0"/>
        <v>2.4696000000000002</v>
      </c>
      <c r="P10" s="101">
        <v>5</v>
      </c>
      <c r="Q10" s="106" t="s">
        <v>142</v>
      </c>
      <c r="R10" s="102"/>
      <c r="S10" s="103"/>
      <c r="T10" s="103"/>
      <c r="U10" s="104"/>
      <c r="Y10">
        <v>0.35</v>
      </c>
      <c r="Z10" s="148">
        <f t="shared" si="4"/>
        <v>0.96040000000000014</v>
      </c>
      <c r="AB10" s="96">
        <f t="shared" si="7"/>
        <v>5</v>
      </c>
      <c r="AC10">
        <v>12064.27</v>
      </c>
      <c r="AD10">
        <f t="shared" si="5"/>
        <v>0.27695752984389349</v>
      </c>
      <c r="AE10">
        <v>0.28000000000000003</v>
      </c>
    </row>
    <row r="11" spans="2:31" ht="16.5" thickBot="1" x14ac:dyDescent="0.3">
      <c r="C11" s="96">
        <f t="shared" si="6"/>
        <v>6</v>
      </c>
      <c r="D11" s="97">
        <v>26083.200000000001</v>
      </c>
      <c r="E11" s="98">
        <v>0.28999999999999998</v>
      </c>
      <c r="F11" s="98">
        <v>0.9</v>
      </c>
      <c r="G11" s="99">
        <v>10</v>
      </c>
      <c r="H11" s="99">
        <v>3.36</v>
      </c>
      <c r="I11" s="100">
        <f t="shared" si="1"/>
        <v>0.87695999999999996</v>
      </c>
      <c r="J11" s="99">
        <v>10.52</v>
      </c>
      <c r="K11" s="100">
        <f t="shared" si="2"/>
        <v>2.7457199999999999</v>
      </c>
      <c r="L11" s="99">
        <v>11.96</v>
      </c>
      <c r="M11" s="100">
        <f t="shared" si="3"/>
        <v>3.1215600000000006</v>
      </c>
      <c r="N11" s="98">
        <v>9.8000000000000007</v>
      </c>
      <c r="O11" s="98">
        <f t="shared" si="0"/>
        <v>2.5577999999999999</v>
      </c>
      <c r="P11" s="101">
        <v>6</v>
      </c>
      <c r="Q11" s="106" t="s">
        <v>141</v>
      </c>
      <c r="R11" s="102"/>
      <c r="S11" s="103"/>
      <c r="T11" s="103"/>
      <c r="U11" s="104"/>
      <c r="Y11">
        <v>0.35</v>
      </c>
      <c r="Z11" s="148">
        <f t="shared" si="4"/>
        <v>0.99470000000000003</v>
      </c>
      <c r="AB11" s="96">
        <f t="shared" si="7"/>
        <v>6</v>
      </c>
      <c r="AC11">
        <v>12762.65</v>
      </c>
      <c r="AD11">
        <f t="shared" si="5"/>
        <v>0.29299012855831036</v>
      </c>
      <c r="AE11">
        <v>0.28999999999999998</v>
      </c>
    </row>
    <row r="12" spans="2:31" ht="16.5" thickBot="1" x14ac:dyDescent="0.3">
      <c r="C12" s="96">
        <f t="shared" si="6"/>
        <v>7</v>
      </c>
      <c r="D12" s="97">
        <v>58293.5</v>
      </c>
      <c r="E12" s="98">
        <v>1.05</v>
      </c>
      <c r="F12" s="98">
        <v>0.9</v>
      </c>
      <c r="G12" s="99">
        <v>10</v>
      </c>
      <c r="H12" s="99">
        <v>3.36</v>
      </c>
      <c r="I12" s="100">
        <f t="shared" si="1"/>
        <v>3.1752000000000002</v>
      </c>
      <c r="J12" s="99">
        <v>11.52</v>
      </c>
      <c r="K12" s="100">
        <f t="shared" si="2"/>
        <v>10.8864</v>
      </c>
      <c r="L12" s="99">
        <v>12.96</v>
      </c>
      <c r="M12" s="100">
        <f t="shared" si="3"/>
        <v>12.247200000000001</v>
      </c>
      <c r="N12" s="98">
        <v>9.8000000000000007</v>
      </c>
      <c r="O12" s="98">
        <f t="shared" si="0"/>
        <v>9.261000000000001</v>
      </c>
      <c r="P12" s="101">
        <v>7</v>
      </c>
      <c r="Q12" s="106" t="s">
        <v>141</v>
      </c>
      <c r="R12" s="102"/>
      <c r="S12" s="103"/>
      <c r="T12" s="103"/>
      <c r="U12" s="104"/>
      <c r="Y12">
        <v>0.35</v>
      </c>
      <c r="Z12" s="148">
        <f t="shared" si="4"/>
        <v>3.6015000000000001</v>
      </c>
      <c r="AB12" s="96">
        <f t="shared" si="7"/>
        <v>7</v>
      </c>
      <c r="AC12">
        <f>57297.82-AC14</f>
        <v>45181.42</v>
      </c>
      <c r="AD12">
        <f t="shared" si="5"/>
        <v>1.0372226813590451</v>
      </c>
      <c r="AE12">
        <v>1.05</v>
      </c>
    </row>
    <row r="13" spans="2:31" ht="16.5" thickBot="1" x14ac:dyDescent="0.3">
      <c r="C13" s="96">
        <f t="shared" si="6"/>
        <v>8</v>
      </c>
      <c r="D13" s="97">
        <v>19747.7</v>
      </c>
      <c r="E13" s="98">
        <v>0.43</v>
      </c>
      <c r="F13" s="98">
        <v>0.9</v>
      </c>
      <c r="G13" s="99">
        <v>10</v>
      </c>
      <c r="H13" s="99">
        <v>3.36</v>
      </c>
      <c r="I13" s="100">
        <f t="shared" si="1"/>
        <v>1.3003199999999999</v>
      </c>
      <c r="J13" s="99">
        <v>12.52</v>
      </c>
      <c r="K13" s="100">
        <f t="shared" si="2"/>
        <v>4.8452399999999995</v>
      </c>
      <c r="L13" s="99">
        <v>13.96</v>
      </c>
      <c r="M13" s="100">
        <f t="shared" si="3"/>
        <v>5.4025200000000009</v>
      </c>
      <c r="N13" s="98">
        <v>9.8000000000000007</v>
      </c>
      <c r="O13" s="98">
        <f t="shared" si="0"/>
        <v>3.7926000000000002</v>
      </c>
      <c r="P13" s="101">
        <v>8</v>
      </c>
      <c r="Q13" s="106" t="s">
        <v>141</v>
      </c>
      <c r="R13" s="102"/>
      <c r="S13" s="103"/>
      <c r="T13" s="103"/>
      <c r="U13" s="104"/>
      <c r="Y13">
        <v>0.35</v>
      </c>
      <c r="Z13" s="148">
        <f t="shared" si="4"/>
        <v>1.4749000000000001</v>
      </c>
      <c r="AB13" s="96">
        <f t="shared" si="7"/>
        <v>8</v>
      </c>
      <c r="AC13">
        <v>18669.490000000002</v>
      </c>
      <c r="AD13">
        <f t="shared" si="5"/>
        <v>0.42859251606978882</v>
      </c>
      <c r="AE13">
        <v>0.43</v>
      </c>
    </row>
    <row r="14" spans="2:31" ht="16.5" thickBot="1" x14ac:dyDescent="0.3">
      <c r="C14" s="96">
        <f t="shared" si="6"/>
        <v>9</v>
      </c>
      <c r="D14" s="97">
        <v>12077.2</v>
      </c>
      <c r="E14" s="98">
        <v>0.28000000000000003</v>
      </c>
      <c r="F14" s="98">
        <v>0.9</v>
      </c>
      <c r="G14" s="99">
        <v>10</v>
      </c>
      <c r="H14" s="99">
        <v>3.36</v>
      </c>
      <c r="I14" s="100">
        <f t="shared" si="1"/>
        <v>0.84672000000000014</v>
      </c>
      <c r="J14" s="99">
        <v>13.52</v>
      </c>
      <c r="K14" s="100">
        <f t="shared" si="2"/>
        <v>3.4070400000000007</v>
      </c>
      <c r="L14" s="99">
        <v>14.96</v>
      </c>
      <c r="M14" s="100">
        <f t="shared" si="3"/>
        <v>3.7699200000000013</v>
      </c>
      <c r="N14" s="98">
        <v>9.8000000000000007</v>
      </c>
      <c r="O14" s="98">
        <f t="shared" si="0"/>
        <v>2.4696000000000002</v>
      </c>
      <c r="P14" s="101">
        <v>9</v>
      </c>
      <c r="Q14" s="106" t="s">
        <v>142</v>
      </c>
      <c r="R14" s="102"/>
      <c r="S14" s="103"/>
      <c r="T14" s="103"/>
      <c r="U14" s="104"/>
      <c r="Y14">
        <v>0.35</v>
      </c>
      <c r="Z14" s="148">
        <f t="shared" si="4"/>
        <v>0.96040000000000014</v>
      </c>
      <c r="AB14" s="96">
        <f t="shared" si="7"/>
        <v>9</v>
      </c>
      <c r="AC14">
        <v>12116.4</v>
      </c>
      <c r="AD14">
        <f t="shared" si="5"/>
        <v>0.2781542699724518</v>
      </c>
      <c r="AE14">
        <v>0.28000000000000003</v>
      </c>
    </row>
    <row r="15" spans="2:31" ht="16.5" thickBot="1" x14ac:dyDescent="0.3">
      <c r="C15" s="96">
        <f t="shared" si="6"/>
        <v>10</v>
      </c>
      <c r="D15" s="97">
        <v>27908.2</v>
      </c>
      <c r="E15" s="98">
        <v>0.44</v>
      </c>
      <c r="F15" s="98">
        <v>0.9</v>
      </c>
      <c r="G15" s="99">
        <v>10</v>
      </c>
      <c r="H15" s="99">
        <v>3.36</v>
      </c>
      <c r="I15" s="100">
        <f t="shared" si="1"/>
        <v>1.33056</v>
      </c>
      <c r="J15" s="99">
        <v>14.52</v>
      </c>
      <c r="K15" s="100">
        <f t="shared" si="2"/>
        <v>5.7499200000000004</v>
      </c>
      <c r="L15" s="99">
        <v>15.96</v>
      </c>
      <c r="M15" s="100">
        <f t="shared" si="3"/>
        <v>6.3201600000000004</v>
      </c>
      <c r="N15" s="98">
        <v>9.8000000000000007</v>
      </c>
      <c r="O15" s="98">
        <f t="shared" si="0"/>
        <v>3.8808000000000002</v>
      </c>
      <c r="P15" s="101">
        <v>10</v>
      </c>
      <c r="Q15" s="106" t="s">
        <v>193</v>
      </c>
      <c r="R15" s="102"/>
      <c r="S15" s="103"/>
      <c r="T15" s="103"/>
      <c r="U15" s="104"/>
      <c r="Y15">
        <v>0.35</v>
      </c>
      <c r="Z15" s="148">
        <f t="shared" si="4"/>
        <v>1.5092000000000001</v>
      </c>
      <c r="AB15" s="96">
        <f t="shared" si="7"/>
        <v>10</v>
      </c>
      <c r="AC15">
        <v>19234.580000000002</v>
      </c>
      <c r="AD15">
        <f t="shared" si="5"/>
        <v>0.44156519742883382</v>
      </c>
      <c r="AE15">
        <v>0.44</v>
      </c>
    </row>
    <row r="16" spans="2:31" ht="16.5" thickBot="1" x14ac:dyDescent="0.3">
      <c r="C16" s="96">
        <f t="shared" si="6"/>
        <v>11</v>
      </c>
      <c r="D16" s="97">
        <v>1648.1</v>
      </c>
      <c r="E16" s="106" t="s">
        <v>212</v>
      </c>
      <c r="F16" s="185"/>
      <c r="G16" s="186"/>
      <c r="H16" s="186"/>
      <c r="I16" s="187"/>
      <c r="J16" s="186"/>
      <c r="K16" s="187"/>
      <c r="L16" s="186"/>
      <c r="M16" s="187"/>
      <c r="N16" s="185"/>
      <c r="O16" s="185"/>
      <c r="P16" s="188">
        <v>11</v>
      </c>
      <c r="Q16" s="91"/>
      <c r="R16" s="102"/>
      <c r="S16" s="103"/>
      <c r="T16" s="103"/>
      <c r="U16" s="104"/>
      <c r="Y16">
        <v>0.35</v>
      </c>
      <c r="Z16" s="148" t="e">
        <f t="shared" si="4"/>
        <v>#VALUE!</v>
      </c>
      <c r="AB16" s="96">
        <f t="shared" si="7"/>
        <v>11</v>
      </c>
      <c r="AC16">
        <v>3859.07</v>
      </c>
      <c r="AD16">
        <f t="shared" si="5"/>
        <v>8.8592056932966026E-2</v>
      </c>
      <c r="AE16">
        <v>0.09</v>
      </c>
    </row>
    <row r="17" spans="3:31" ht="16.5" thickBot="1" x14ac:dyDescent="0.3">
      <c r="C17" s="96">
        <f t="shared" si="6"/>
        <v>12</v>
      </c>
      <c r="D17" s="97">
        <v>15050.5</v>
      </c>
      <c r="E17" s="98">
        <v>0.28000000000000003</v>
      </c>
      <c r="F17" s="98">
        <v>0.9</v>
      </c>
      <c r="G17" s="99">
        <v>10</v>
      </c>
      <c r="H17" s="99">
        <v>3.36</v>
      </c>
      <c r="I17" s="100">
        <f t="shared" si="1"/>
        <v>0.84672000000000014</v>
      </c>
      <c r="J17" s="99">
        <v>16.52</v>
      </c>
      <c r="K17" s="100">
        <f t="shared" si="2"/>
        <v>4.1630400000000005</v>
      </c>
      <c r="L17" s="99">
        <v>17.96</v>
      </c>
      <c r="M17" s="100">
        <f t="shared" si="3"/>
        <v>4.5259200000000011</v>
      </c>
      <c r="N17" s="98">
        <v>9.8000000000000007</v>
      </c>
      <c r="O17" s="98">
        <f t="shared" si="0"/>
        <v>2.4696000000000002</v>
      </c>
      <c r="P17" s="101">
        <v>12</v>
      </c>
      <c r="Q17" s="189" t="s">
        <v>210</v>
      </c>
      <c r="R17" s="102"/>
      <c r="S17" s="103"/>
      <c r="T17" s="103"/>
      <c r="U17" s="104"/>
      <c r="Y17">
        <v>0.35</v>
      </c>
      <c r="Z17" s="148">
        <f t="shared" si="4"/>
        <v>0.96040000000000014</v>
      </c>
      <c r="AB17" s="96">
        <f t="shared" si="7"/>
        <v>12</v>
      </c>
      <c r="AC17">
        <v>12085.59</v>
      </c>
      <c r="AD17">
        <f t="shared" si="5"/>
        <v>0.27744696969696969</v>
      </c>
      <c r="AE17">
        <v>0.28000000000000003</v>
      </c>
    </row>
    <row r="18" spans="3:31" ht="16.5" thickBot="1" x14ac:dyDescent="0.3">
      <c r="C18" s="96">
        <f t="shared" si="6"/>
        <v>13</v>
      </c>
      <c r="D18" s="97">
        <v>3967.2</v>
      </c>
      <c r="E18" s="98">
        <v>0.08</v>
      </c>
      <c r="F18" s="98">
        <v>0.9</v>
      </c>
      <c r="G18" s="99">
        <v>10</v>
      </c>
      <c r="H18" s="99">
        <v>3.36</v>
      </c>
      <c r="I18" s="100">
        <f t="shared" si="1"/>
        <v>0.24192000000000002</v>
      </c>
      <c r="J18" s="99">
        <v>17.52</v>
      </c>
      <c r="K18" s="100">
        <f t="shared" si="2"/>
        <v>1.2614400000000001</v>
      </c>
      <c r="L18" s="99">
        <v>18.96</v>
      </c>
      <c r="M18" s="100">
        <f t="shared" si="3"/>
        <v>1.3651200000000001</v>
      </c>
      <c r="N18" s="98">
        <v>9.8000000000000007</v>
      </c>
      <c r="O18" s="98">
        <f t="shared" si="0"/>
        <v>0.7056</v>
      </c>
      <c r="P18" s="101">
        <v>13</v>
      </c>
      <c r="Q18" s="106" t="s">
        <v>144</v>
      </c>
      <c r="R18" s="102"/>
      <c r="S18" s="103"/>
      <c r="T18" s="103"/>
      <c r="U18" s="104"/>
      <c r="Y18">
        <v>0.35</v>
      </c>
      <c r="Z18" s="148">
        <f t="shared" si="4"/>
        <v>0.27440000000000003</v>
      </c>
      <c r="AB18" s="96">
        <f t="shared" si="7"/>
        <v>13</v>
      </c>
      <c r="AC18">
        <v>3379.85</v>
      </c>
      <c r="AD18">
        <f t="shared" si="5"/>
        <v>7.7590679522497707E-2</v>
      </c>
      <c r="AE18">
        <v>0.08</v>
      </c>
    </row>
    <row r="19" spans="3:31" ht="16.5" thickBot="1" x14ac:dyDescent="0.3">
      <c r="C19" s="96">
        <f t="shared" si="6"/>
        <v>14</v>
      </c>
      <c r="D19" s="97">
        <v>7392.8</v>
      </c>
      <c r="E19" s="98">
        <v>0.47</v>
      </c>
      <c r="F19" s="98">
        <v>0.9</v>
      </c>
      <c r="G19" s="99">
        <v>10</v>
      </c>
      <c r="H19" s="99">
        <v>3.36</v>
      </c>
      <c r="I19" s="100">
        <f t="shared" si="1"/>
        <v>1.4212799999999999</v>
      </c>
      <c r="J19" s="99">
        <v>18.52</v>
      </c>
      <c r="K19" s="100">
        <f t="shared" si="2"/>
        <v>7.8339599999999994</v>
      </c>
      <c r="L19" s="99">
        <v>19.96</v>
      </c>
      <c r="M19" s="100">
        <f t="shared" si="3"/>
        <v>8.4430800000000001</v>
      </c>
      <c r="N19" s="98">
        <v>9.8000000000000007</v>
      </c>
      <c r="O19" s="98">
        <f t="shared" si="0"/>
        <v>4.1453999999999995</v>
      </c>
      <c r="P19" s="101">
        <v>14</v>
      </c>
      <c r="Q19" s="106" t="s">
        <v>211</v>
      </c>
      <c r="R19" s="102"/>
      <c r="S19" s="103"/>
      <c r="T19" s="103"/>
      <c r="U19" s="104"/>
      <c r="Y19">
        <v>0.35</v>
      </c>
      <c r="Z19" s="148">
        <f t="shared" si="4"/>
        <v>1.6121000000000001</v>
      </c>
      <c r="AB19" s="96">
        <f t="shared" si="7"/>
        <v>14</v>
      </c>
      <c r="AC19">
        <v>20621.41</v>
      </c>
      <c r="AD19">
        <f t="shared" si="5"/>
        <v>0.4734024334251607</v>
      </c>
      <c r="AE19">
        <v>0.47</v>
      </c>
    </row>
    <row r="20" spans="3:31" ht="16.5" thickBot="1" x14ac:dyDescent="0.3">
      <c r="C20" s="96">
        <f t="shared" si="6"/>
        <v>15</v>
      </c>
      <c r="D20" s="97">
        <v>16944.900000000001</v>
      </c>
      <c r="E20" s="98">
        <v>0.35</v>
      </c>
      <c r="F20" s="98">
        <v>0.9</v>
      </c>
      <c r="G20" s="99">
        <v>10</v>
      </c>
      <c r="H20" s="99">
        <v>3.36</v>
      </c>
      <c r="I20" s="100">
        <f t="shared" si="1"/>
        <v>1.0584</v>
      </c>
      <c r="J20" s="99">
        <v>19.52</v>
      </c>
      <c r="K20" s="100">
        <f t="shared" si="2"/>
        <v>6.1487999999999996</v>
      </c>
      <c r="L20" s="99">
        <v>20.96</v>
      </c>
      <c r="M20" s="100">
        <f t="shared" si="3"/>
        <v>6.6024000000000003</v>
      </c>
      <c r="N20" s="98">
        <v>9.8000000000000007</v>
      </c>
      <c r="O20" s="98">
        <f t="shared" si="0"/>
        <v>3.0869999999999997</v>
      </c>
      <c r="P20" s="101">
        <v>15</v>
      </c>
      <c r="Q20" s="106" t="s">
        <v>146</v>
      </c>
      <c r="R20" s="102"/>
      <c r="S20" s="103"/>
      <c r="T20" s="103"/>
      <c r="U20" s="104"/>
      <c r="Y20">
        <v>0.35</v>
      </c>
      <c r="Z20" s="148">
        <f t="shared" si="4"/>
        <v>1.2004999999999999</v>
      </c>
      <c r="AB20" s="96">
        <f t="shared" si="7"/>
        <v>15</v>
      </c>
      <c r="AC20">
        <v>11591.74</v>
      </c>
      <c r="AD20">
        <f t="shared" si="5"/>
        <v>0.26610973370064278</v>
      </c>
      <c r="AE20">
        <v>0.27</v>
      </c>
    </row>
    <row r="21" spans="3:31" ht="16.5" thickBot="1" x14ac:dyDescent="0.3">
      <c r="C21" s="96">
        <f t="shared" si="6"/>
        <v>16</v>
      </c>
      <c r="D21" s="97">
        <v>12196.8</v>
      </c>
      <c r="E21" s="106" t="s">
        <v>212</v>
      </c>
      <c r="F21" s="185"/>
      <c r="G21" s="186"/>
      <c r="H21" s="186"/>
      <c r="I21" s="187"/>
      <c r="J21" s="186"/>
      <c r="K21" s="187"/>
      <c r="L21" s="186"/>
      <c r="M21" s="187"/>
      <c r="N21" s="185"/>
      <c r="O21" s="185"/>
      <c r="P21" s="188">
        <v>11</v>
      </c>
      <c r="Q21" s="91"/>
      <c r="R21" s="102"/>
      <c r="S21" s="103"/>
      <c r="T21" s="103"/>
      <c r="U21" s="104"/>
      <c r="Y21">
        <v>0.35</v>
      </c>
      <c r="Z21" s="148" t="e">
        <f t="shared" si="4"/>
        <v>#VALUE!</v>
      </c>
      <c r="AB21" s="96">
        <f t="shared" si="7"/>
        <v>16</v>
      </c>
      <c r="AC21">
        <v>14053.49</v>
      </c>
      <c r="AD21">
        <f t="shared" si="5"/>
        <v>0.3226237373737374</v>
      </c>
      <c r="AE21">
        <v>0.32</v>
      </c>
    </row>
    <row r="22" spans="3:31" ht="16.5" thickBot="1" x14ac:dyDescent="0.3">
      <c r="C22" s="96">
        <f t="shared" si="6"/>
        <v>17</v>
      </c>
      <c r="D22" s="97">
        <v>4492.3</v>
      </c>
      <c r="E22" s="98">
        <v>0.19</v>
      </c>
      <c r="F22" s="98">
        <v>0.9</v>
      </c>
      <c r="G22" s="99">
        <v>10</v>
      </c>
      <c r="H22" s="99">
        <v>3.36</v>
      </c>
      <c r="I22" s="100">
        <f t="shared" si="1"/>
        <v>0.57456000000000007</v>
      </c>
      <c r="J22" s="99">
        <v>20.52</v>
      </c>
      <c r="K22" s="100">
        <f t="shared" si="2"/>
        <v>3.5089200000000003</v>
      </c>
      <c r="L22" s="99">
        <v>21.96</v>
      </c>
      <c r="M22" s="100">
        <f t="shared" si="3"/>
        <v>3.7551600000000005</v>
      </c>
      <c r="N22" s="98">
        <v>9.8000000000000007</v>
      </c>
      <c r="O22" s="98">
        <f t="shared" si="0"/>
        <v>1.6758000000000002</v>
      </c>
      <c r="P22" s="101">
        <v>16</v>
      </c>
      <c r="Q22" s="106" t="s">
        <v>217</v>
      </c>
      <c r="R22" s="102"/>
      <c r="S22" s="103"/>
      <c r="T22" s="103"/>
      <c r="U22" s="104"/>
      <c r="Y22">
        <v>0.35</v>
      </c>
      <c r="Z22" s="148">
        <f t="shared" si="4"/>
        <v>0.65170000000000006</v>
      </c>
      <c r="AB22" s="96">
        <f t="shared" si="7"/>
        <v>17</v>
      </c>
      <c r="AC22">
        <v>4489.54</v>
      </c>
      <c r="AD22">
        <f t="shared" si="5"/>
        <v>0.10306565656565657</v>
      </c>
      <c r="AE22">
        <v>0.1</v>
      </c>
    </row>
    <row r="23" spans="3:31" ht="16.5" thickBot="1" x14ac:dyDescent="0.3">
      <c r="C23" s="96">
        <f t="shared" si="6"/>
        <v>18</v>
      </c>
      <c r="E23" s="98">
        <v>0.04</v>
      </c>
      <c r="F23" s="98">
        <v>0.9</v>
      </c>
      <c r="G23" s="99">
        <v>10</v>
      </c>
      <c r="N23" s="98">
        <v>9.8000000000000007</v>
      </c>
      <c r="O23" s="98">
        <f t="shared" si="0"/>
        <v>0.3528</v>
      </c>
      <c r="Q23" s="106" t="s">
        <v>192</v>
      </c>
      <c r="R23" s="102"/>
      <c r="S23" s="103"/>
      <c r="T23" s="103"/>
      <c r="U23" s="104"/>
      <c r="Z23" s="148" t="e">
        <f>SUM(Z6:Z22)</f>
        <v>#VALUE!</v>
      </c>
      <c r="AB23" s="96">
        <f t="shared" si="7"/>
        <v>18</v>
      </c>
      <c r="AC23">
        <v>1984.96</v>
      </c>
      <c r="AD23">
        <f t="shared" si="5"/>
        <v>4.5568411386593205E-2</v>
      </c>
      <c r="AE23">
        <v>0.04</v>
      </c>
    </row>
    <row r="24" spans="3:31" ht="16.5" thickBot="1" x14ac:dyDescent="0.3">
      <c r="C24" s="96">
        <f t="shared" si="6"/>
        <v>19</v>
      </c>
      <c r="E24" s="98">
        <v>0.23</v>
      </c>
      <c r="F24" s="98">
        <v>0.9</v>
      </c>
      <c r="G24" s="99">
        <v>10</v>
      </c>
      <c r="N24" s="98">
        <v>9.8000000000000007</v>
      </c>
      <c r="O24" s="98">
        <f t="shared" si="0"/>
        <v>2.0286</v>
      </c>
      <c r="Q24" s="106" t="s">
        <v>192</v>
      </c>
      <c r="R24" s="102"/>
      <c r="S24" s="103"/>
      <c r="T24" s="103"/>
      <c r="U24" s="104"/>
      <c r="AB24" s="96">
        <f t="shared" si="7"/>
        <v>19</v>
      </c>
      <c r="AC24">
        <v>10527.91</v>
      </c>
      <c r="AD24">
        <f t="shared" si="5"/>
        <v>0.24168755739210285</v>
      </c>
      <c r="AE24">
        <v>0.23</v>
      </c>
    </row>
    <row r="25" spans="3:31" ht="16.5" thickBot="1" x14ac:dyDescent="0.3">
      <c r="C25" s="96">
        <f t="shared" si="6"/>
        <v>20</v>
      </c>
      <c r="E25" s="98">
        <v>0.25</v>
      </c>
      <c r="F25" s="98">
        <v>0.9</v>
      </c>
      <c r="G25" s="99">
        <v>10</v>
      </c>
      <c r="N25" s="98">
        <v>9.8000000000000007</v>
      </c>
      <c r="O25" s="98">
        <f t="shared" si="0"/>
        <v>2.2050000000000001</v>
      </c>
      <c r="Q25" s="106" t="s">
        <v>192</v>
      </c>
      <c r="R25" s="102"/>
      <c r="S25" s="103"/>
      <c r="T25" s="103"/>
      <c r="U25" s="104"/>
      <c r="X25" t="s">
        <v>161</v>
      </c>
      <c r="Y25" s="148"/>
      <c r="Z25" s="148">
        <f>E6+E7+E8+E9+E10+E11+E12+E13+E14+E15+E17+E22</f>
        <v>5.9600000000000009</v>
      </c>
      <c r="AB25" s="96">
        <f t="shared" si="7"/>
        <v>20</v>
      </c>
      <c r="AC25">
        <v>10985.35</v>
      </c>
      <c r="AD25">
        <f t="shared" si="5"/>
        <v>0.25218893480257115</v>
      </c>
      <c r="AE25">
        <v>0.25</v>
      </c>
    </row>
    <row r="26" spans="3:31" ht="16.5" thickBot="1" x14ac:dyDescent="0.3">
      <c r="C26" s="96">
        <f t="shared" si="6"/>
        <v>21</v>
      </c>
      <c r="E26" s="98">
        <v>0.16</v>
      </c>
      <c r="F26" s="98">
        <v>0.9</v>
      </c>
      <c r="G26" s="99">
        <v>10</v>
      </c>
      <c r="N26" s="98">
        <v>9.8000000000000007</v>
      </c>
      <c r="O26" s="98">
        <f t="shared" si="0"/>
        <v>1.4112</v>
      </c>
      <c r="Q26" s="106" t="s">
        <v>141</v>
      </c>
      <c r="R26" s="102"/>
      <c r="S26" s="103"/>
      <c r="T26" s="103"/>
      <c r="U26" s="104"/>
      <c r="X26" t="s">
        <v>160</v>
      </c>
      <c r="Y26" s="148">
        <f>O18+O19+O20+O21+O22+O16</f>
        <v>9.6137999999999995</v>
      </c>
      <c r="Z26" s="148" t="e">
        <f>E16+E18+E19+E20+E21</f>
        <v>#VALUE!</v>
      </c>
      <c r="AB26" s="96">
        <f t="shared" si="7"/>
        <v>21</v>
      </c>
      <c r="AC26">
        <v>7212.13</v>
      </c>
      <c r="AD26">
        <f t="shared" si="5"/>
        <v>0.16556772268135905</v>
      </c>
      <c r="AE26">
        <v>0.16</v>
      </c>
    </row>
    <row r="27" spans="3:31" ht="16.5" thickBot="1" x14ac:dyDescent="0.3">
      <c r="C27" s="96">
        <f t="shared" si="6"/>
        <v>22</v>
      </c>
      <c r="E27" s="98">
        <v>0.85</v>
      </c>
      <c r="F27" s="98">
        <v>0.9</v>
      </c>
      <c r="G27" s="99">
        <v>10</v>
      </c>
      <c r="N27" s="98">
        <v>9.8000000000000007</v>
      </c>
      <c r="O27" s="98">
        <f t="shared" si="0"/>
        <v>7.4969999999999999</v>
      </c>
      <c r="Q27" s="106" t="s">
        <v>142</v>
      </c>
      <c r="R27" s="102"/>
      <c r="S27" s="103"/>
      <c r="T27" s="103"/>
      <c r="U27" s="104"/>
      <c r="AB27" s="96">
        <f t="shared" si="7"/>
        <v>22</v>
      </c>
      <c r="AC27">
        <v>31526.44</v>
      </c>
      <c r="AD27">
        <f t="shared" si="5"/>
        <v>0.7237474747474747</v>
      </c>
      <c r="AE27">
        <v>0.72</v>
      </c>
    </row>
    <row r="28" spans="3:31" ht="15.75" customHeight="1" thickBot="1" x14ac:dyDescent="0.3">
      <c r="C28" s="96">
        <f t="shared" si="6"/>
        <v>23</v>
      </c>
      <c r="E28" s="98">
        <v>0.78</v>
      </c>
      <c r="F28" s="98">
        <v>0.9</v>
      </c>
      <c r="G28" s="99">
        <v>10</v>
      </c>
      <c r="N28" s="98">
        <v>9.8000000000000007</v>
      </c>
      <c r="O28" s="98">
        <f t="shared" si="0"/>
        <v>6.8796000000000008</v>
      </c>
      <c r="Q28" s="106" t="s">
        <v>142</v>
      </c>
      <c r="R28" s="102"/>
      <c r="S28" s="103"/>
      <c r="T28" s="103"/>
      <c r="U28" s="104"/>
      <c r="AB28" s="96">
        <f t="shared" si="7"/>
        <v>23</v>
      </c>
      <c r="AC28">
        <v>29535.96</v>
      </c>
      <c r="AD28">
        <f t="shared" si="5"/>
        <v>0.67805234159779615</v>
      </c>
      <c r="AE28">
        <v>0.68</v>
      </c>
    </row>
    <row r="29" spans="3:31" ht="15.75" customHeight="1" thickBot="1" x14ac:dyDescent="0.3">
      <c r="C29" s="96" t="s">
        <v>167</v>
      </c>
      <c r="E29" s="98">
        <v>1.44</v>
      </c>
      <c r="F29" s="98">
        <v>0.75</v>
      </c>
      <c r="G29" s="99">
        <v>10</v>
      </c>
      <c r="N29" s="98">
        <v>9.8000000000000007</v>
      </c>
      <c r="O29" s="98">
        <f t="shared" si="0"/>
        <v>10.584</v>
      </c>
      <c r="Q29" s="106" t="s">
        <v>206</v>
      </c>
      <c r="R29" s="102"/>
      <c r="S29" s="103"/>
      <c r="T29" s="103"/>
      <c r="U29" s="104"/>
      <c r="AB29" s="158"/>
    </row>
    <row r="30" spans="3:31" ht="15.75" customHeight="1" thickBot="1" x14ac:dyDescent="0.3">
      <c r="C30" s="96" t="s">
        <v>168</v>
      </c>
      <c r="E30" s="98">
        <v>0.8</v>
      </c>
      <c r="F30" s="98">
        <v>0.75</v>
      </c>
      <c r="G30" s="99">
        <v>10</v>
      </c>
      <c r="N30" s="98">
        <v>9.8000000000000007</v>
      </c>
      <c r="O30" s="100">
        <f t="shared" si="0"/>
        <v>5.8800000000000008</v>
      </c>
      <c r="Q30" s="106" t="s">
        <v>207</v>
      </c>
      <c r="R30" s="102"/>
      <c r="S30" s="103"/>
      <c r="T30" s="103"/>
      <c r="U30" s="104"/>
      <c r="AB30" s="158"/>
    </row>
    <row r="31" spans="3:31" ht="15.75" customHeight="1" thickBot="1" x14ac:dyDescent="0.3">
      <c r="C31" s="96" t="s">
        <v>169</v>
      </c>
      <c r="E31" s="98">
        <v>0.24</v>
      </c>
      <c r="F31" s="98">
        <v>0.75</v>
      </c>
      <c r="G31" s="99">
        <v>10</v>
      </c>
      <c r="N31" s="98">
        <v>9.8000000000000007</v>
      </c>
      <c r="O31" s="98">
        <f t="shared" si="0"/>
        <v>1.764</v>
      </c>
      <c r="Q31" s="106" t="s">
        <v>171</v>
      </c>
      <c r="R31" s="102"/>
      <c r="S31" s="103"/>
      <c r="T31" s="103"/>
      <c r="U31" s="104"/>
      <c r="AB31" s="158"/>
    </row>
    <row r="32" spans="3:31" ht="17.25" x14ac:dyDescent="0.25">
      <c r="C32" t="s">
        <v>191</v>
      </c>
      <c r="E32" s="148"/>
      <c r="O32" s="148"/>
      <c r="AD32">
        <f>SUM(AD6:AD28)</f>
        <v>9.1854634986225925</v>
      </c>
      <c r="AE32">
        <f>SUM(AE6:AE28)</f>
        <v>9.18</v>
      </c>
    </row>
    <row r="33" spans="3:31" ht="17.25" x14ac:dyDescent="0.25">
      <c r="C33" t="s">
        <v>166</v>
      </c>
      <c r="AB33" t="s">
        <v>167</v>
      </c>
      <c r="AC33">
        <v>63783.360000000001</v>
      </c>
      <c r="AD33">
        <f>AC33/43560</f>
        <v>1.4642644628099173</v>
      </c>
      <c r="AE33">
        <v>1.46</v>
      </c>
    </row>
    <row r="34" spans="3:31" x14ac:dyDescent="0.25">
      <c r="AB34" t="s">
        <v>168</v>
      </c>
      <c r="AC34">
        <v>33863.870000000003</v>
      </c>
      <c r="AD34">
        <f t="shared" ref="AD34:AD35" si="8">AC34/43560</f>
        <v>0.77740748393021131</v>
      </c>
      <c r="AE34">
        <v>0.78</v>
      </c>
    </row>
    <row r="35" spans="3:31" x14ac:dyDescent="0.25">
      <c r="AB35" t="s">
        <v>169</v>
      </c>
      <c r="AC35">
        <v>10754.52</v>
      </c>
      <c r="AD35">
        <f t="shared" si="8"/>
        <v>0.24688980716253445</v>
      </c>
      <c r="AE35">
        <v>0.24</v>
      </c>
    </row>
  </sheetData>
  <mergeCells count="2">
    <mergeCell ref="C4:Q4"/>
    <mergeCell ref="Q5:U5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51"/>
  <sheetViews>
    <sheetView showGridLines="0" showRuler="0" zoomScale="80" zoomScaleNormal="80" workbookViewId="0">
      <selection activeCell="AN32" sqref="AN31:AN32"/>
    </sheetView>
  </sheetViews>
  <sheetFormatPr defaultColWidth="8.85546875" defaultRowHeight="14.25" x14ac:dyDescent="0.2"/>
  <cols>
    <col min="1" max="1" width="8.85546875" style="10"/>
    <col min="2" max="2" width="13.140625" style="10" customWidth="1"/>
    <col min="3" max="3" width="16.42578125" style="10" customWidth="1"/>
    <col min="4" max="4" width="9.85546875" style="10" customWidth="1"/>
    <col min="5" max="5" width="8.7109375" style="10" customWidth="1"/>
    <col min="6" max="6" width="8.85546875" style="10" customWidth="1"/>
    <col min="7" max="9" width="12.7109375" style="10" customWidth="1"/>
    <col min="10" max="16" width="8.85546875" style="10" customWidth="1"/>
    <col min="17" max="21" width="8.85546875" style="10" hidden="1" customWidth="1"/>
    <col min="22" max="24" width="11" style="10" hidden="1" customWidth="1"/>
    <col min="25" max="27" width="8.85546875" style="10" hidden="1" customWidth="1"/>
    <col min="28" max="28" width="10.140625" style="10" hidden="1" customWidth="1"/>
    <col min="29" max="35" width="8.85546875" style="10" hidden="1" customWidth="1"/>
    <col min="36" max="39" width="8.85546875" style="10" customWidth="1"/>
    <col min="40" max="40" width="38.28515625" style="10" customWidth="1"/>
    <col min="41" max="41" width="8.85546875" style="10"/>
    <col min="42" max="42" width="9.28515625" style="10" bestFit="1" customWidth="1"/>
    <col min="43" max="45" width="9" style="10" bestFit="1" customWidth="1"/>
    <col min="46" max="47" width="9.28515625" style="10" bestFit="1" customWidth="1"/>
    <col min="48" max="50" width="9.28515625" style="10" customWidth="1"/>
    <col min="51" max="16384" width="8.85546875" style="10"/>
  </cols>
  <sheetData>
    <row r="1" spans="1:57" x14ac:dyDescent="0.2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</row>
    <row r="2" spans="1:57" ht="15" thickBot="1" x14ac:dyDescent="0.25">
      <c r="AD2" s="241"/>
      <c r="AE2" s="242"/>
      <c r="AF2" s="242"/>
      <c r="AG2" s="242"/>
      <c r="AH2" s="242"/>
    </row>
    <row r="3" spans="1:57" ht="16.5" thickBot="1" x14ac:dyDescent="0.3">
      <c r="B3" s="254" t="s">
        <v>123</v>
      </c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5"/>
      <c r="AG3" s="255"/>
      <c r="AH3" s="255"/>
      <c r="AI3" s="255"/>
      <c r="AJ3" s="255"/>
      <c r="AK3" s="255"/>
      <c r="AL3" s="255"/>
      <c r="AM3" s="255"/>
      <c r="AN3" s="256"/>
    </row>
    <row r="4" spans="1:57" ht="16.5" thickBot="1" x14ac:dyDescent="0.3">
      <c r="B4" s="254" t="s">
        <v>5</v>
      </c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7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5"/>
      <c r="AL4" s="255"/>
      <c r="AM4" s="255"/>
      <c r="AN4" s="256"/>
      <c r="AP4" s="9"/>
    </row>
    <row r="5" spans="1:57" ht="16.5" thickBot="1" x14ac:dyDescent="0.3">
      <c r="B5" s="217" t="s">
        <v>92</v>
      </c>
      <c r="C5" s="240"/>
      <c r="D5" s="218"/>
      <c r="E5" s="219"/>
      <c r="F5" s="28" t="s">
        <v>93</v>
      </c>
      <c r="G5" s="217" t="s">
        <v>94</v>
      </c>
      <c r="H5" s="218"/>
      <c r="I5" s="219"/>
      <c r="J5" s="217" t="s">
        <v>95</v>
      </c>
      <c r="K5" s="218"/>
      <c r="L5" s="218"/>
      <c r="M5" s="218"/>
      <c r="N5" s="219"/>
      <c r="O5" s="217" t="s">
        <v>96</v>
      </c>
      <c r="P5" s="219"/>
      <c r="Q5" s="28" t="s">
        <v>97</v>
      </c>
      <c r="R5" s="217" t="s">
        <v>98</v>
      </c>
      <c r="S5" s="219"/>
      <c r="T5" s="217" t="s">
        <v>99</v>
      </c>
      <c r="U5" s="218"/>
      <c r="V5" s="219"/>
      <c r="W5" s="26"/>
      <c r="X5" s="26"/>
      <c r="Y5" s="217" t="s">
        <v>100</v>
      </c>
      <c r="Z5" s="218"/>
      <c r="AA5" s="218"/>
      <c r="AB5" s="218"/>
      <c r="AC5" s="243"/>
      <c r="AD5" s="217" t="s">
        <v>101</v>
      </c>
      <c r="AE5" s="244"/>
      <c r="AF5" s="244"/>
      <c r="AG5" s="245"/>
      <c r="AH5" s="217" t="s">
        <v>102</v>
      </c>
      <c r="AI5" s="218"/>
      <c r="AJ5" s="218"/>
      <c r="AK5" s="218"/>
      <c r="AL5" s="219"/>
      <c r="AM5" s="184"/>
      <c r="AN5" s="27"/>
      <c r="AP5" s="9"/>
      <c r="AY5" s="264" t="s">
        <v>118</v>
      </c>
      <c r="AZ5" s="265"/>
      <c r="BA5" s="265"/>
      <c r="BB5" s="265"/>
      <c r="BC5" s="265"/>
      <c r="BD5" s="266"/>
    </row>
    <row r="6" spans="1:57" ht="15" customHeight="1" x14ac:dyDescent="0.2">
      <c r="B6" s="231" t="s">
        <v>8</v>
      </c>
      <c r="C6" s="229" t="s">
        <v>124</v>
      </c>
      <c r="D6" s="229" t="s">
        <v>66</v>
      </c>
      <c r="E6" s="233" t="s">
        <v>112</v>
      </c>
      <c r="F6" s="235" t="s">
        <v>20</v>
      </c>
      <c r="G6" s="233" t="s">
        <v>15</v>
      </c>
      <c r="H6" s="233" t="s">
        <v>67</v>
      </c>
      <c r="I6" s="238" t="s">
        <v>68</v>
      </c>
      <c r="J6" s="231" t="s">
        <v>77</v>
      </c>
      <c r="K6" s="222" t="s">
        <v>76</v>
      </c>
      <c r="L6" s="220" t="s">
        <v>75</v>
      </c>
      <c r="M6" s="220" t="s">
        <v>74</v>
      </c>
      <c r="N6" s="220" t="s">
        <v>69</v>
      </c>
      <c r="O6" s="220" t="s">
        <v>70</v>
      </c>
      <c r="P6" s="220" t="s">
        <v>71</v>
      </c>
      <c r="Q6" s="224" t="s">
        <v>73</v>
      </c>
      <c r="R6" s="220" t="s">
        <v>103</v>
      </c>
      <c r="S6" s="226" t="s">
        <v>72</v>
      </c>
      <c r="T6" s="224" t="s">
        <v>78</v>
      </c>
      <c r="U6" s="220" t="s">
        <v>79</v>
      </c>
      <c r="V6" s="220" t="s">
        <v>80</v>
      </c>
      <c r="W6" s="23"/>
      <c r="X6" s="23"/>
      <c r="Y6" s="224" t="s">
        <v>81</v>
      </c>
      <c r="Z6" s="222" t="s">
        <v>82</v>
      </c>
      <c r="AA6" s="222" t="s">
        <v>79</v>
      </c>
      <c r="AB6" s="236" t="s">
        <v>83</v>
      </c>
      <c r="AC6" s="220" t="s">
        <v>80</v>
      </c>
      <c r="AD6" s="250" t="s">
        <v>84</v>
      </c>
      <c r="AE6" s="273" t="s">
        <v>63</v>
      </c>
      <c r="AF6" s="273" t="s">
        <v>85</v>
      </c>
      <c r="AG6" s="250" t="s">
        <v>86</v>
      </c>
      <c r="AH6" s="250" t="s">
        <v>87</v>
      </c>
      <c r="AI6" s="250" t="s">
        <v>88</v>
      </c>
      <c r="AJ6" s="220" t="s">
        <v>90</v>
      </c>
      <c r="AK6" s="220" t="s">
        <v>89</v>
      </c>
      <c r="AL6" s="252" t="s">
        <v>91</v>
      </c>
      <c r="AM6" s="252" t="s">
        <v>215</v>
      </c>
      <c r="AN6" s="259" t="s">
        <v>50</v>
      </c>
      <c r="AP6" s="246" t="s">
        <v>105</v>
      </c>
      <c r="AQ6" s="248" t="s">
        <v>107</v>
      </c>
      <c r="AR6" s="270" t="s">
        <v>108</v>
      </c>
      <c r="AS6" s="220" t="s">
        <v>109</v>
      </c>
      <c r="AT6" s="220" t="s">
        <v>110</v>
      </c>
      <c r="AU6" s="226" t="s">
        <v>111</v>
      </c>
      <c r="AV6" s="226" t="s">
        <v>120</v>
      </c>
      <c r="AW6" s="226" t="s">
        <v>121</v>
      </c>
      <c r="AX6" s="226" t="s">
        <v>122</v>
      </c>
      <c r="AY6" s="226" t="s">
        <v>113</v>
      </c>
      <c r="AZ6" s="226" t="s">
        <v>114</v>
      </c>
      <c r="BA6" s="226" t="s">
        <v>115</v>
      </c>
      <c r="BB6" s="262" t="s">
        <v>116</v>
      </c>
      <c r="BC6" s="262" t="s">
        <v>85</v>
      </c>
      <c r="BD6" s="262" t="s">
        <v>117</v>
      </c>
      <c r="BE6" s="267" t="s">
        <v>119</v>
      </c>
    </row>
    <row r="7" spans="1:57" ht="94.9" customHeight="1" thickBot="1" x14ac:dyDescent="0.25">
      <c r="B7" s="258"/>
      <c r="C7" s="230"/>
      <c r="D7" s="230"/>
      <c r="E7" s="234"/>
      <c r="F7" s="230"/>
      <c r="G7" s="232"/>
      <c r="H7" s="232"/>
      <c r="I7" s="239"/>
      <c r="J7" s="232"/>
      <c r="K7" s="221"/>
      <c r="L7" s="223"/>
      <c r="M7" s="223"/>
      <c r="N7" s="221"/>
      <c r="O7" s="221"/>
      <c r="P7" s="221"/>
      <c r="Q7" s="225"/>
      <c r="R7" s="223"/>
      <c r="S7" s="227"/>
      <c r="T7" s="228"/>
      <c r="U7" s="221"/>
      <c r="V7" s="221"/>
      <c r="W7" s="24" t="s">
        <v>54</v>
      </c>
      <c r="X7" s="24" t="s">
        <v>51</v>
      </c>
      <c r="Y7" s="228"/>
      <c r="Z7" s="221"/>
      <c r="AA7" s="221"/>
      <c r="AB7" s="237"/>
      <c r="AC7" s="221"/>
      <c r="AD7" s="251"/>
      <c r="AE7" s="274"/>
      <c r="AF7" s="274"/>
      <c r="AG7" s="251"/>
      <c r="AH7" s="251"/>
      <c r="AI7" s="251"/>
      <c r="AJ7" s="221"/>
      <c r="AK7" s="221"/>
      <c r="AL7" s="253"/>
      <c r="AM7" s="253"/>
      <c r="AN7" s="260"/>
      <c r="AP7" s="247"/>
      <c r="AQ7" s="249"/>
      <c r="AR7" s="271"/>
      <c r="AS7" s="272"/>
      <c r="AT7" s="272"/>
      <c r="AU7" s="269"/>
      <c r="AV7" s="269"/>
      <c r="AW7" s="269"/>
      <c r="AX7" s="269"/>
      <c r="AY7" s="269"/>
      <c r="AZ7" s="269"/>
      <c r="BA7" s="269"/>
      <c r="BB7" s="263"/>
      <c r="BC7" s="263"/>
      <c r="BD7" s="263"/>
      <c r="BE7" s="268"/>
    </row>
    <row r="8" spans="1:57" ht="15" thickBot="1" x14ac:dyDescent="0.25">
      <c r="B8" s="74"/>
      <c r="C8" s="75"/>
      <c r="D8" s="75"/>
      <c r="E8" s="75"/>
      <c r="F8" s="75" t="s">
        <v>21</v>
      </c>
      <c r="G8" s="75"/>
      <c r="H8" s="75" t="s">
        <v>1</v>
      </c>
      <c r="I8" s="75" t="s">
        <v>14</v>
      </c>
      <c r="J8" s="75" t="s">
        <v>2</v>
      </c>
      <c r="K8" s="75" t="s">
        <v>2</v>
      </c>
      <c r="L8" s="75" t="s">
        <v>2</v>
      </c>
      <c r="M8" s="75" t="s">
        <v>2</v>
      </c>
      <c r="N8" s="75" t="s">
        <v>2</v>
      </c>
      <c r="O8" s="75" t="s">
        <v>2</v>
      </c>
      <c r="P8" s="75" t="s">
        <v>13</v>
      </c>
      <c r="Q8" s="75" t="s">
        <v>3</v>
      </c>
      <c r="R8" s="75" t="s">
        <v>13</v>
      </c>
      <c r="S8" s="75"/>
      <c r="T8" s="75" t="s">
        <v>3</v>
      </c>
      <c r="U8" s="75" t="s">
        <v>13</v>
      </c>
      <c r="V8" s="75" t="s">
        <v>13</v>
      </c>
      <c r="W8" s="75"/>
      <c r="X8" s="75"/>
      <c r="Y8" s="75" t="s">
        <v>13</v>
      </c>
      <c r="Z8" s="75" t="s">
        <v>2</v>
      </c>
      <c r="AA8" s="75" t="s">
        <v>13</v>
      </c>
      <c r="AB8" s="76" t="s">
        <v>3</v>
      </c>
      <c r="AC8" s="75" t="s">
        <v>13</v>
      </c>
      <c r="AD8" s="75"/>
      <c r="AE8" s="77" t="s">
        <v>13</v>
      </c>
      <c r="AF8" s="77" t="s">
        <v>13</v>
      </c>
      <c r="AG8" s="75" t="s">
        <v>3</v>
      </c>
      <c r="AH8" s="75" t="s">
        <v>13</v>
      </c>
      <c r="AI8" s="75" t="s">
        <v>13</v>
      </c>
      <c r="AJ8" s="75" t="s">
        <v>2</v>
      </c>
      <c r="AK8" s="75" t="s">
        <v>2</v>
      </c>
      <c r="AL8" s="78" t="s">
        <v>13</v>
      </c>
      <c r="AM8" s="78" t="s">
        <v>2</v>
      </c>
      <c r="AN8" s="261"/>
      <c r="AP8" s="176" t="s">
        <v>106</v>
      </c>
      <c r="AQ8" s="174" t="s">
        <v>2</v>
      </c>
      <c r="AR8" s="31" t="s">
        <v>13</v>
      </c>
      <c r="AS8" s="1" t="s">
        <v>13</v>
      </c>
      <c r="AT8" s="1" t="s">
        <v>2</v>
      </c>
      <c r="AU8" s="25" t="s">
        <v>13</v>
      </c>
      <c r="AV8" s="25" t="s">
        <v>13</v>
      </c>
      <c r="AW8" s="25" t="s">
        <v>13</v>
      </c>
      <c r="AX8" s="25" t="s">
        <v>13</v>
      </c>
      <c r="AY8" s="25" t="s">
        <v>13</v>
      </c>
      <c r="AZ8" s="25" t="s">
        <v>13</v>
      </c>
      <c r="BA8" s="25" t="s">
        <v>13</v>
      </c>
      <c r="BB8" s="25"/>
      <c r="BC8" s="25"/>
      <c r="BD8" s="25"/>
      <c r="BE8" s="31"/>
    </row>
    <row r="9" spans="1:57" ht="15" thickBot="1" x14ac:dyDescent="0.25">
      <c r="B9" s="169">
        <v>1</v>
      </c>
      <c r="C9" s="170">
        <v>2</v>
      </c>
      <c r="D9" s="170">
        <v>3</v>
      </c>
      <c r="E9" s="170">
        <v>4</v>
      </c>
      <c r="F9" s="170">
        <f t="shared" ref="F9:AI9" si="0">E9+1</f>
        <v>5</v>
      </c>
      <c r="G9" s="170">
        <v>6</v>
      </c>
      <c r="H9" s="170">
        <f t="shared" si="0"/>
        <v>7</v>
      </c>
      <c r="I9" s="170">
        <f t="shared" si="0"/>
        <v>8</v>
      </c>
      <c r="J9" s="170">
        <f t="shared" si="0"/>
        <v>9</v>
      </c>
      <c r="K9" s="170">
        <f t="shared" si="0"/>
        <v>10</v>
      </c>
      <c r="L9" s="170">
        <f t="shared" si="0"/>
        <v>11</v>
      </c>
      <c r="M9" s="170">
        <f t="shared" si="0"/>
        <v>12</v>
      </c>
      <c r="N9" s="170">
        <f t="shared" si="0"/>
        <v>13</v>
      </c>
      <c r="O9" s="170">
        <f t="shared" si="0"/>
        <v>14</v>
      </c>
      <c r="P9" s="170">
        <f t="shared" si="0"/>
        <v>15</v>
      </c>
      <c r="Q9" s="170">
        <f t="shared" si="0"/>
        <v>16</v>
      </c>
      <c r="R9" s="170">
        <f t="shared" si="0"/>
        <v>17</v>
      </c>
      <c r="S9" s="170">
        <f t="shared" si="0"/>
        <v>18</v>
      </c>
      <c r="T9" s="170">
        <f t="shared" si="0"/>
        <v>19</v>
      </c>
      <c r="U9" s="170">
        <f t="shared" si="0"/>
        <v>20</v>
      </c>
      <c r="V9" s="170">
        <f t="shared" si="0"/>
        <v>21</v>
      </c>
      <c r="W9" s="170"/>
      <c r="X9" s="170"/>
      <c r="Y9" s="170">
        <f>V9+1</f>
        <v>22</v>
      </c>
      <c r="Z9" s="170">
        <f t="shared" si="0"/>
        <v>23</v>
      </c>
      <c r="AA9" s="170">
        <f t="shared" si="0"/>
        <v>24</v>
      </c>
      <c r="AB9" s="171">
        <f t="shared" si="0"/>
        <v>25</v>
      </c>
      <c r="AC9" s="170">
        <f t="shared" si="0"/>
        <v>26</v>
      </c>
      <c r="AD9" s="170">
        <f t="shared" si="0"/>
        <v>27</v>
      </c>
      <c r="AE9" s="172">
        <f t="shared" si="0"/>
        <v>28</v>
      </c>
      <c r="AF9" s="172">
        <f t="shared" si="0"/>
        <v>29</v>
      </c>
      <c r="AG9" s="170">
        <f t="shared" si="0"/>
        <v>30</v>
      </c>
      <c r="AH9" s="170">
        <f t="shared" si="0"/>
        <v>31</v>
      </c>
      <c r="AI9" s="170">
        <f t="shared" si="0"/>
        <v>32</v>
      </c>
      <c r="AJ9" s="170">
        <v>16</v>
      </c>
      <c r="AK9" s="170">
        <f>AJ9+1</f>
        <v>17</v>
      </c>
      <c r="AL9" s="173">
        <f>AK9+1</f>
        <v>18</v>
      </c>
      <c r="AM9" s="173">
        <v>19</v>
      </c>
      <c r="AN9" s="89">
        <v>20</v>
      </c>
      <c r="AP9" s="177">
        <f t="shared" ref="AP9:AX9" si="1">AO9+1</f>
        <v>1</v>
      </c>
      <c r="AQ9" s="175">
        <f t="shared" si="1"/>
        <v>2</v>
      </c>
      <c r="AR9" s="30">
        <f t="shared" si="1"/>
        <v>3</v>
      </c>
      <c r="AS9" s="2">
        <f t="shared" si="1"/>
        <v>4</v>
      </c>
      <c r="AT9" s="2">
        <f t="shared" si="1"/>
        <v>5</v>
      </c>
      <c r="AU9" s="2">
        <f t="shared" si="1"/>
        <v>6</v>
      </c>
      <c r="AV9" s="2">
        <f t="shared" si="1"/>
        <v>7</v>
      </c>
      <c r="AW9" s="2">
        <f t="shared" si="1"/>
        <v>8</v>
      </c>
      <c r="AX9" s="2">
        <f t="shared" si="1"/>
        <v>9</v>
      </c>
      <c r="AY9" s="2">
        <f>AU9+1</f>
        <v>7</v>
      </c>
      <c r="AZ9" s="2">
        <f>AY9+1</f>
        <v>8</v>
      </c>
      <c r="BA9" s="2">
        <f>AZ9+1</f>
        <v>9</v>
      </c>
      <c r="BB9" s="2"/>
      <c r="BC9" s="2"/>
      <c r="BD9" s="2"/>
      <c r="BE9" s="30"/>
    </row>
    <row r="10" spans="1:57" ht="15" x14ac:dyDescent="0.2">
      <c r="B10" s="160" t="s">
        <v>51</v>
      </c>
      <c r="C10" s="161" t="s">
        <v>173</v>
      </c>
      <c r="D10" s="162" t="s">
        <v>174</v>
      </c>
      <c r="E10" s="163" t="s">
        <v>57</v>
      </c>
      <c r="F10" s="164">
        <v>100</v>
      </c>
      <c r="G10" s="163">
        <v>0.9</v>
      </c>
      <c r="H10" s="163">
        <v>9.8000000000000007</v>
      </c>
      <c r="I10" s="163">
        <v>1.27</v>
      </c>
      <c r="J10" s="163">
        <f>G10*H10*I10</f>
        <v>11.201400000000001</v>
      </c>
      <c r="K10" s="163">
        <f>J10</f>
        <v>11.201400000000001</v>
      </c>
      <c r="L10" s="163">
        <v>0</v>
      </c>
      <c r="M10" s="163">
        <f>J10+L10</f>
        <v>11.201400000000001</v>
      </c>
      <c r="N10" s="163" t="s">
        <v>55</v>
      </c>
      <c r="O10" s="163" t="s">
        <v>63</v>
      </c>
      <c r="P10" s="163">
        <v>0.5</v>
      </c>
      <c r="Q10" s="165" t="s">
        <v>55</v>
      </c>
      <c r="R10" s="163" t="s">
        <v>55</v>
      </c>
      <c r="S10" s="163" t="s">
        <v>55</v>
      </c>
      <c r="T10" s="163" t="s">
        <v>55</v>
      </c>
      <c r="U10" s="163" t="str">
        <f>IF(S10="S",((J10*0.016)/(0.56*(T10^1.67)*(Q10^0.5)))^0.375,"")</f>
        <v/>
      </c>
      <c r="V10" s="163" t="str">
        <f>IF(S10="S",1.248*(((M10*0.016*T10)/(Q10^0.5))^0.375),"")</f>
        <v/>
      </c>
      <c r="W10" s="163">
        <v>1</v>
      </c>
      <c r="X10" s="163">
        <v>1</v>
      </c>
      <c r="Y10" s="163" t="str">
        <f>(IF(S10="P",BE10,""))</f>
        <v/>
      </c>
      <c r="Z10" s="163" t="str">
        <f>(IF(S10="P",J10/(Q10^0.5),""))</f>
        <v/>
      </c>
      <c r="AA10" s="163" t="str">
        <f>(IF(S10="P",R10/2,""))</f>
        <v/>
      </c>
      <c r="AB10" s="166">
        <v>0.02</v>
      </c>
      <c r="AC10" s="163" t="e">
        <f>0.1005*Z10^0.3692</f>
        <v>#VALUE!</v>
      </c>
      <c r="AD10" s="167" t="e">
        <f>AX10</f>
        <v>#VALUE!</v>
      </c>
      <c r="AE10" s="163">
        <v>3</v>
      </c>
      <c r="AF10" s="163">
        <f>7.5/12</f>
        <v>0.625</v>
      </c>
      <c r="AG10" s="163" t="e">
        <f>T10+((AF10/AE10)*AD10)</f>
        <v>#VALUE!</v>
      </c>
      <c r="AH10" s="163">
        <v>1</v>
      </c>
      <c r="AI10" s="163">
        <v>1</v>
      </c>
      <c r="AJ10" s="163">
        <v>0</v>
      </c>
      <c r="AK10" s="163">
        <f>M10</f>
        <v>11.201400000000001</v>
      </c>
      <c r="AL10" s="168">
        <v>0</v>
      </c>
      <c r="AM10" s="168">
        <v>21.5</v>
      </c>
      <c r="AN10" s="88" t="s">
        <v>180</v>
      </c>
      <c r="AO10" s="9"/>
      <c r="AP10" s="178" t="e">
        <f>(AQ10+T10*(AA10-(AQ10/2)))+(0.5*AR10*AQ10)</f>
        <v>#VALUE!</v>
      </c>
      <c r="AQ10" s="29">
        <v>3</v>
      </c>
      <c r="AR10" s="29">
        <v>0.625</v>
      </c>
      <c r="AS10" s="29" t="e">
        <f>((((AQ10*T10)+AR10)^2)+(AQ10^2))^0.5</f>
        <v>#VALUE!</v>
      </c>
      <c r="AT10" s="29" t="e">
        <f>(T10/2)*((AA10-AQ10)^2)</f>
        <v>#VALUE!</v>
      </c>
      <c r="AU10" s="32" t="e">
        <f>AA10-AQ10</f>
        <v>#VALUE!</v>
      </c>
      <c r="AV10" s="29" t="e">
        <f>((1.486*(AT10^(2/3)))/(0.016*(AS10^(2/3))))</f>
        <v>#VALUE!</v>
      </c>
      <c r="AW10" s="29" t="e">
        <f>((1.486*(AS10^(2/3)))/(0.016*(AP10^(2/3))))</f>
        <v>#VALUE!</v>
      </c>
      <c r="AX10" s="29" t="e">
        <f>AW10/(AV10+AW10)</f>
        <v>#VALUE!</v>
      </c>
      <c r="AY10" s="29" t="e">
        <f>(BC10*BB10)-(BD10*(BB10^2))</f>
        <v>#VALUE!</v>
      </c>
      <c r="AZ10" s="10">
        <f>7.5/12</f>
        <v>0.625</v>
      </c>
      <c r="BA10" s="10" t="e">
        <f>R10/2</f>
        <v>#VALUE!</v>
      </c>
      <c r="BB10" s="10">
        <v>5</v>
      </c>
      <c r="BC10" s="10" t="e">
        <f>(2*AZ10)/BA10</f>
        <v>#VALUE!</v>
      </c>
      <c r="BD10" s="10" t="e">
        <f>AZ10/(BA10^2)</f>
        <v>#VALUE!</v>
      </c>
      <c r="BE10" s="10">
        <f>7.5/12</f>
        <v>0.625</v>
      </c>
    </row>
    <row r="11" spans="1:57" s="72" customFormat="1" ht="15" x14ac:dyDescent="0.2">
      <c r="B11" s="70" t="s">
        <v>52</v>
      </c>
      <c r="C11" s="71" t="s">
        <v>173</v>
      </c>
      <c r="D11" s="3" t="s">
        <v>175</v>
      </c>
      <c r="E11" s="4" t="s">
        <v>57</v>
      </c>
      <c r="F11" s="159">
        <v>100</v>
      </c>
      <c r="G11" s="4">
        <v>0.9</v>
      </c>
      <c r="H11" s="4">
        <v>9.8000000000000007</v>
      </c>
      <c r="I11" s="4">
        <v>1.95</v>
      </c>
      <c r="J11" s="163">
        <f t="shared" ref="J11:J12" si="2">G11*H11*I11</f>
        <v>17.199000000000002</v>
      </c>
      <c r="K11" s="4">
        <f>J11</f>
        <v>17.199000000000002</v>
      </c>
      <c r="L11" s="4">
        <v>0</v>
      </c>
      <c r="M11" s="4">
        <f>J11+L11</f>
        <v>17.199000000000002</v>
      </c>
      <c r="N11" s="4" t="s">
        <v>55</v>
      </c>
      <c r="O11" s="4" t="s">
        <v>63</v>
      </c>
      <c r="P11" s="4">
        <v>0.5</v>
      </c>
      <c r="Q11" s="5"/>
      <c r="R11" s="4"/>
      <c r="S11" s="5"/>
      <c r="T11" s="6"/>
      <c r="U11" s="5"/>
      <c r="V11" s="7"/>
      <c r="W11" s="8"/>
      <c r="X11" s="8"/>
      <c r="Y11" s="3"/>
      <c r="Z11" s="7"/>
      <c r="AA11" s="4"/>
      <c r="AB11" s="4"/>
      <c r="AC11" s="4"/>
      <c r="AD11" s="4"/>
      <c r="AE11" s="4"/>
      <c r="AF11" s="4"/>
      <c r="AG11" s="4"/>
      <c r="AH11" s="4"/>
      <c r="AI11" s="4"/>
      <c r="AJ11" s="4">
        <v>0</v>
      </c>
      <c r="AK11" s="4">
        <f t="shared" ref="AK11:AK12" si="3">M11</f>
        <v>17.199000000000002</v>
      </c>
      <c r="AL11" s="86">
        <v>0</v>
      </c>
      <c r="AM11" s="86">
        <v>21.5</v>
      </c>
      <c r="AN11" s="87" t="s">
        <v>179</v>
      </c>
      <c r="AO11" s="14"/>
      <c r="AV11" s="73"/>
      <c r="AW11" s="73"/>
      <c r="AX11" s="73"/>
      <c r="AY11" s="73"/>
    </row>
    <row r="12" spans="1:57" ht="15.75" thickBot="1" x14ac:dyDescent="0.25">
      <c r="B12" s="70" t="s">
        <v>53</v>
      </c>
      <c r="C12" s="71" t="s">
        <v>177</v>
      </c>
      <c r="D12" s="3" t="s">
        <v>176</v>
      </c>
      <c r="E12" s="4" t="s">
        <v>57</v>
      </c>
      <c r="F12" s="159">
        <v>100</v>
      </c>
      <c r="G12" s="4">
        <v>0.9</v>
      </c>
      <c r="H12" s="4">
        <v>9.8000000000000007</v>
      </c>
      <c r="I12" s="4">
        <v>0.45</v>
      </c>
      <c r="J12" s="163">
        <f t="shared" si="2"/>
        <v>3.9690000000000003</v>
      </c>
      <c r="K12" s="4">
        <f>J12</f>
        <v>3.9690000000000003</v>
      </c>
      <c r="L12" s="4">
        <v>0</v>
      </c>
      <c r="M12" s="4">
        <f>J12+L12</f>
        <v>3.9690000000000003</v>
      </c>
      <c r="N12" s="4" t="s">
        <v>55</v>
      </c>
      <c r="O12" s="4" t="s">
        <v>63</v>
      </c>
      <c r="P12" s="4">
        <v>0.5</v>
      </c>
      <c r="Q12" s="67"/>
      <c r="R12" s="68"/>
      <c r="S12" s="69"/>
      <c r="T12" s="68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4">
        <v>0</v>
      </c>
      <c r="AK12" s="4">
        <f t="shared" si="3"/>
        <v>3.9690000000000003</v>
      </c>
      <c r="AL12" s="86">
        <v>0</v>
      </c>
      <c r="AM12" s="86">
        <v>21.5</v>
      </c>
      <c r="AN12" s="87" t="s">
        <v>178</v>
      </c>
      <c r="AO12" s="9"/>
    </row>
    <row r="13" spans="1:57" ht="15" x14ac:dyDescent="0.2">
      <c r="B13" s="79"/>
      <c r="C13" s="79" t="s">
        <v>213</v>
      </c>
      <c r="D13" s="11"/>
      <c r="E13" s="11"/>
      <c r="F13" s="80"/>
      <c r="G13" s="80"/>
      <c r="H13" s="80"/>
      <c r="I13" s="80"/>
      <c r="J13" s="80"/>
      <c r="K13" s="81"/>
      <c r="L13" s="81"/>
      <c r="M13" s="81"/>
      <c r="N13" s="81"/>
      <c r="O13" s="80"/>
      <c r="P13" s="80"/>
      <c r="Q13" s="81"/>
      <c r="R13" s="80"/>
      <c r="S13" s="81"/>
      <c r="T13" s="82"/>
      <c r="U13" s="81"/>
      <c r="V13" s="83"/>
      <c r="W13" s="79"/>
      <c r="X13" s="79"/>
      <c r="Y13" s="11"/>
      <c r="Z13" s="83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4"/>
      <c r="AO13" s="9"/>
    </row>
    <row r="14" spans="1:57" ht="15" x14ac:dyDescent="0.2">
      <c r="B14" s="14"/>
      <c r="C14" s="85"/>
      <c r="D14" s="15"/>
      <c r="E14" s="15"/>
      <c r="F14" s="13"/>
      <c r="G14" s="13"/>
      <c r="H14" s="13"/>
      <c r="I14" s="13"/>
      <c r="J14" s="13"/>
      <c r="K14" s="16"/>
      <c r="L14" s="16"/>
      <c r="M14" s="16"/>
      <c r="N14" s="16"/>
      <c r="O14" s="13"/>
      <c r="P14" s="13"/>
      <c r="Q14" s="16"/>
      <c r="R14" s="13"/>
      <c r="S14" s="16"/>
      <c r="T14" s="17"/>
      <c r="U14" s="16"/>
      <c r="V14" s="18"/>
      <c r="W14" s="14"/>
      <c r="X14" s="14"/>
      <c r="Y14" s="15"/>
      <c r="Z14" s="18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9"/>
      <c r="AO14" s="9"/>
    </row>
    <row r="15" spans="1:57" ht="15" x14ac:dyDescent="0.2">
      <c r="B15" s="14"/>
      <c r="C15" s="14"/>
      <c r="D15" s="15"/>
      <c r="E15" s="15"/>
      <c r="F15" s="13"/>
      <c r="G15" s="13"/>
      <c r="H15" s="13"/>
      <c r="I15" s="13"/>
      <c r="J15" s="13"/>
      <c r="K15" s="16"/>
      <c r="L15" s="16"/>
      <c r="M15" s="16"/>
      <c r="N15" s="16"/>
      <c r="O15" s="13"/>
      <c r="P15" s="13"/>
      <c r="Q15" s="16"/>
      <c r="R15" s="13"/>
      <c r="S15" s="16"/>
      <c r="T15" s="17"/>
      <c r="U15" s="16"/>
      <c r="V15" s="18"/>
      <c r="W15" s="14"/>
      <c r="X15" s="14"/>
      <c r="Y15" s="15"/>
      <c r="Z15" s="18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9"/>
      <c r="AO15" s="9"/>
    </row>
    <row r="16" spans="1:57" ht="15" x14ac:dyDescent="0.2">
      <c r="B16" s="14"/>
      <c r="C16" s="14"/>
      <c r="D16" s="15"/>
      <c r="E16" s="15"/>
      <c r="F16" s="13"/>
      <c r="G16" s="13"/>
      <c r="H16" s="13"/>
      <c r="I16" s="13"/>
      <c r="J16" s="13"/>
      <c r="K16" s="16"/>
      <c r="L16" s="16"/>
      <c r="M16" s="16"/>
      <c r="N16" s="16"/>
      <c r="O16" s="13"/>
      <c r="P16" s="13"/>
      <c r="Q16" s="16"/>
      <c r="R16" s="13"/>
      <c r="S16" s="16"/>
      <c r="T16" s="17"/>
      <c r="U16" s="16"/>
      <c r="V16" s="18"/>
      <c r="W16" s="14"/>
      <c r="X16" s="14"/>
      <c r="Y16" s="15"/>
      <c r="Z16" s="18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9"/>
      <c r="AO16" s="9"/>
    </row>
    <row r="17" spans="1:41" ht="15" x14ac:dyDescent="0.2">
      <c r="B17" s="14"/>
      <c r="C17" s="14"/>
      <c r="D17" s="15"/>
      <c r="E17" s="15"/>
      <c r="F17" s="13"/>
      <c r="G17" s="13"/>
      <c r="H17" s="13"/>
      <c r="I17" s="13"/>
      <c r="J17" s="13"/>
      <c r="K17" s="16"/>
      <c r="L17" s="16"/>
      <c r="M17" s="16"/>
      <c r="N17" s="16"/>
      <c r="O17" s="13"/>
      <c r="P17" s="13"/>
      <c r="Q17" s="16"/>
      <c r="R17" s="13"/>
      <c r="S17" s="16"/>
      <c r="T17" s="17"/>
      <c r="U17" s="16"/>
      <c r="V17" s="18"/>
      <c r="W17" s="14"/>
      <c r="X17" s="14"/>
      <c r="Y17" s="15"/>
      <c r="Z17" s="18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9"/>
      <c r="AO17" s="9"/>
    </row>
    <row r="18" spans="1:41" ht="15" x14ac:dyDescent="0.2">
      <c r="B18" s="14"/>
      <c r="C18" s="14"/>
      <c r="D18" s="15"/>
      <c r="E18" s="15"/>
      <c r="F18" s="13"/>
      <c r="G18" s="13"/>
      <c r="H18" s="13"/>
      <c r="I18" s="13"/>
      <c r="J18" s="13"/>
      <c r="K18" s="16"/>
      <c r="L18" s="16"/>
      <c r="M18" s="16"/>
      <c r="N18" s="16"/>
      <c r="O18" s="13"/>
      <c r="P18" s="13"/>
      <c r="Q18" s="16"/>
      <c r="R18" s="13"/>
      <c r="S18" s="16"/>
      <c r="T18" s="17"/>
      <c r="U18" s="16"/>
      <c r="V18" s="18"/>
      <c r="W18" s="14"/>
      <c r="X18" s="14"/>
      <c r="Y18" s="15"/>
      <c r="Z18" s="18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9"/>
      <c r="AO18" s="9"/>
    </row>
    <row r="19" spans="1:41" ht="15" x14ac:dyDescent="0.2">
      <c r="B19" s="14"/>
      <c r="C19" s="14"/>
      <c r="D19" s="15"/>
      <c r="E19" s="15"/>
      <c r="F19" s="13"/>
      <c r="G19" s="13"/>
      <c r="H19" s="13"/>
      <c r="I19" s="13"/>
      <c r="J19" s="13"/>
      <c r="K19" s="16"/>
      <c r="L19" s="16"/>
      <c r="M19" s="16"/>
      <c r="N19" s="16"/>
      <c r="O19" s="13"/>
      <c r="P19" s="13"/>
      <c r="Q19" s="16"/>
      <c r="R19" s="13"/>
      <c r="S19" s="16"/>
      <c r="T19" s="17"/>
      <c r="U19" s="16"/>
      <c r="V19" s="18"/>
      <c r="W19" s="14"/>
      <c r="X19" s="14"/>
      <c r="Y19" s="15"/>
      <c r="Z19" s="18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9"/>
      <c r="AO19" s="9"/>
    </row>
    <row r="20" spans="1:41" ht="15" x14ac:dyDescent="0.2">
      <c r="B20" s="14"/>
      <c r="C20" s="14"/>
      <c r="D20" s="15"/>
      <c r="E20" s="15"/>
      <c r="F20" s="13"/>
      <c r="G20" s="13"/>
      <c r="H20" s="13"/>
      <c r="I20" s="13"/>
      <c r="J20" s="13"/>
      <c r="K20" s="16"/>
      <c r="L20" s="16"/>
      <c r="M20" s="16"/>
      <c r="N20" s="16"/>
      <c r="O20" s="13"/>
      <c r="P20" s="13"/>
      <c r="Q20" s="16"/>
      <c r="R20" s="13"/>
      <c r="S20" s="16"/>
      <c r="T20" s="17"/>
      <c r="U20" s="16"/>
      <c r="V20" s="18"/>
      <c r="W20" s="14"/>
      <c r="X20" s="14"/>
      <c r="Y20" s="15"/>
      <c r="Z20" s="18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9"/>
      <c r="AO20" s="9"/>
    </row>
    <row r="21" spans="1:41" ht="18" x14ac:dyDescent="0.25">
      <c r="B21" s="20"/>
      <c r="C21" s="14"/>
      <c r="D21" s="15"/>
      <c r="E21" s="15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</row>
    <row r="22" spans="1:41" ht="18" x14ac:dyDescent="0.25">
      <c r="B22" s="20"/>
      <c r="C22" s="20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19"/>
      <c r="AO22" s="9"/>
    </row>
    <row r="23" spans="1:41" ht="15" x14ac:dyDescent="0.2">
      <c r="B23" s="14"/>
      <c r="C23" s="14"/>
      <c r="D23" s="15"/>
      <c r="E23" s="15"/>
      <c r="F23" s="13"/>
      <c r="G23" s="13"/>
      <c r="H23" s="13"/>
      <c r="I23" s="13"/>
      <c r="J23" s="13"/>
      <c r="K23" s="16"/>
      <c r="L23" s="16"/>
      <c r="M23" s="16"/>
      <c r="N23" s="16"/>
      <c r="O23" s="13"/>
      <c r="P23" s="21"/>
      <c r="Q23" s="16"/>
      <c r="R23" s="21"/>
      <c r="S23" s="16"/>
      <c r="T23" s="17"/>
      <c r="U23" s="16"/>
      <c r="V23" s="18"/>
      <c r="W23" s="14"/>
      <c r="X23" s="14"/>
      <c r="Y23" s="15"/>
      <c r="Z23" s="18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22"/>
      <c r="AM23" s="22"/>
      <c r="AN23" s="19"/>
      <c r="AO23" s="9"/>
    </row>
    <row r="24" spans="1:41" ht="15" x14ac:dyDescent="0.2">
      <c r="B24" s="14"/>
      <c r="C24" s="14"/>
      <c r="D24" s="15"/>
      <c r="E24" s="15"/>
      <c r="F24" s="13"/>
      <c r="G24" s="13"/>
      <c r="H24" s="13"/>
      <c r="I24" s="13"/>
      <c r="J24" s="13"/>
      <c r="K24" s="16"/>
      <c r="L24" s="16"/>
      <c r="M24" s="16"/>
      <c r="N24" s="16"/>
      <c r="O24" s="13"/>
      <c r="P24" s="21"/>
      <c r="Q24" s="16"/>
      <c r="R24" s="21"/>
      <c r="S24" s="16"/>
      <c r="T24" s="17"/>
      <c r="U24" s="16"/>
      <c r="V24" s="18"/>
      <c r="W24" s="14"/>
      <c r="X24" s="14"/>
      <c r="Y24" s="15"/>
      <c r="Z24" s="18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9"/>
      <c r="AO24" s="9"/>
    </row>
    <row r="25" spans="1:41" ht="15" x14ac:dyDescent="0.2">
      <c r="B25" s="14"/>
      <c r="C25" s="14"/>
      <c r="D25" s="15"/>
      <c r="E25" s="15"/>
      <c r="F25" s="13"/>
      <c r="G25" s="13"/>
      <c r="H25" s="13"/>
      <c r="I25" s="13"/>
      <c r="J25" s="13"/>
      <c r="K25" s="16"/>
      <c r="L25" s="16"/>
      <c r="M25" s="16"/>
      <c r="N25" s="16"/>
      <c r="O25" s="13"/>
      <c r="P25" s="21"/>
      <c r="Q25" s="16"/>
      <c r="R25" s="21"/>
      <c r="S25" s="16"/>
      <c r="T25" s="17"/>
      <c r="U25" s="16"/>
      <c r="V25" s="18"/>
      <c r="W25" s="14"/>
      <c r="X25" s="14"/>
      <c r="Y25" s="15"/>
      <c r="Z25" s="18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9"/>
      <c r="AO25" s="9"/>
    </row>
    <row r="26" spans="1:41" ht="15" x14ac:dyDescent="0.2">
      <c r="A26" s="9"/>
      <c r="B26" s="14"/>
      <c r="C26" s="14"/>
      <c r="D26" s="15"/>
      <c r="E26" s="15"/>
      <c r="F26" s="13"/>
      <c r="G26" s="13"/>
      <c r="H26" s="13"/>
      <c r="I26" s="13"/>
      <c r="J26" s="13"/>
      <c r="K26" s="16"/>
      <c r="L26" s="16"/>
      <c r="M26" s="16"/>
      <c r="N26" s="16"/>
      <c r="O26" s="13"/>
      <c r="P26" s="21"/>
      <c r="Q26" s="16"/>
      <c r="R26" s="21"/>
      <c r="S26" s="16"/>
      <c r="T26" s="17"/>
      <c r="U26" s="16"/>
      <c r="V26" s="18"/>
      <c r="W26" s="14"/>
      <c r="X26" s="14"/>
      <c r="Y26" s="15"/>
      <c r="Z26" s="18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9"/>
      <c r="AO26" s="9"/>
    </row>
    <row r="27" spans="1:41" ht="16.5" customHeight="1" x14ac:dyDescent="0.25">
      <c r="A27" s="9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 s="9"/>
    </row>
    <row r="28" spans="1:41" ht="13.5" customHeight="1" x14ac:dyDescent="0.25">
      <c r="A28" s="9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 s="9"/>
    </row>
    <row r="29" spans="1:41" ht="15" x14ac:dyDescent="0.25">
      <c r="A29" s="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 s="9"/>
    </row>
    <row r="30" spans="1:41" ht="15" x14ac:dyDescent="0.25">
      <c r="A30" s="9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 s="9"/>
    </row>
    <row r="31" spans="1:41" ht="15" x14ac:dyDescent="0.25">
      <c r="A31" s="9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 s="9"/>
    </row>
    <row r="32" spans="1:41" ht="15" x14ac:dyDescent="0.25">
      <c r="A32" s="9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 s="9"/>
    </row>
    <row r="33" spans="1:41" ht="15" x14ac:dyDescent="0.25">
      <c r="A33" s="9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 s="9"/>
    </row>
    <row r="34" spans="1:41" ht="15" x14ac:dyDescent="0.25">
      <c r="A34" s="9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 s="9"/>
    </row>
    <row r="35" spans="1:41" x14ac:dyDescent="0.2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19"/>
      <c r="AO35" s="9"/>
    </row>
    <row r="36" spans="1:41" ht="18" x14ac:dyDescent="0.25">
      <c r="B36" s="20"/>
      <c r="C36" s="20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19"/>
      <c r="AO36" s="9"/>
    </row>
    <row r="37" spans="1:41" ht="15" x14ac:dyDescent="0.2">
      <c r="B37" s="14"/>
      <c r="C37" s="14"/>
      <c r="D37" s="15"/>
      <c r="E37" s="15"/>
      <c r="F37" s="13"/>
      <c r="G37" s="13"/>
      <c r="H37" s="13"/>
      <c r="I37" s="13"/>
      <c r="J37" s="13"/>
      <c r="K37" s="16"/>
      <c r="L37" s="16"/>
      <c r="M37" s="16"/>
      <c r="N37" s="16"/>
      <c r="O37" s="13"/>
      <c r="P37" s="13"/>
      <c r="Q37" s="16"/>
      <c r="R37" s="13"/>
      <c r="S37" s="16"/>
      <c r="T37" s="17"/>
      <c r="U37" s="16"/>
      <c r="V37" s="18"/>
      <c r="W37" s="14"/>
      <c r="X37" s="14"/>
      <c r="Y37" s="15"/>
      <c r="Z37" s="18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9"/>
      <c r="AO37" s="9"/>
    </row>
    <row r="38" spans="1:41" ht="15" x14ac:dyDescent="0.2">
      <c r="B38" s="14"/>
      <c r="C38" s="14"/>
      <c r="D38" s="15"/>
      <c r="E38" s="15"/>
      <c r="F38" s="13"/>
      <c r="G38" s="13"/>
      <c r="H38" s="13"/>
      <c r="I38" s="13"/>
      <c r="J38" s="13"/>
      <c r="K38" s="16"/>
      <c r="L38" s="16"/>
      <c r="M38" s="16"/>
      <c r="N38" s="16"/>
      <c r="O38" s="13"/>
      <c r="P38" s="13"/>
      <c r="Q38" s="16"/>
      <c r="R38" s="13"/>
      <c r="S38" s="16"/>
      <c r="T38" s="17"/>
      <c r="U38" s="16"/>
      <c r="V38" s="18"/>
      <c r="W38" s="14"/>
      <c r="X38" s="14"/>
      <c r="Y38" s="15"/>
      <c r="Z38" s="18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9"/>
      <c r="AO38" s="9"/>
    </row>
    <row r="39" spans="1:41" x14ac:dyDescent="0.2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19"/>
      <c r="AO39" s="9"/>
    </row>
    <row r="40" spans="1:41" ht="18" x14ac:dyDescent="0.25">
      <c r="B40" s="20"/>
      <c r="C40" s="20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19"/>
      <c r="AO40" s="9"/>
    </row>
    <row r="41" spans="1:41" ht="15" x14ac:dyDescent="0.2">
      <c r="B41" s="14"/>
      <c r="C41" s="14"/>
      <c r="D41" s="15"/>
      <c r="E41" s="15"/>
      <c r="F41" s="13"/>
      <c r="G41" s="13"/>
      <c r="H41" s="13"/>
      <c r="I41" s="13"/>
      <c r="J41" s="13"/>
      <c r="K41" s="16"/>
      <c r="L41" s="16"/>
      <c r="M41" s="16"/>
      <c r="N41" s="16"/>
      <c r="O41" s="13"/>
      <c r="P41" s="13"/>
      <c r="Q41" s="16"/>
      <c r="R41" s="13"/>
      <c r="S41" s="16"/>
      <c r="T41" s="17"/>
      <c r="U41" s="16"/>
      <c r="V41" s="18"/>
      <c r="W41" s="14"/>
      <c r="X41" s="14"/>
      <c r="Y41" s="15"/>
      <c r="Z41" s="18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9"/>
      <c r="AO41" s="9"/>
    </row>
    <row r="42" spans="1:41" ht="15" x14ac:dyDescent="0.2">
      <c r="B42" s="14"/>
      <c r="C42" s="14"/>
      <c r="D42" s="15"/>
      <c r="E42" s="15"/>
      <c r="F42" s="13"/>
      <c r="G42" s="13"/>
      <c r="H42" s="13"/>
      <c r="I42" s="13"/>
      <c r="J42" s="13"/>
      <c r="K42" s="16"/>
      <c r="L42" s="16"/>
      <c r="M42" s="16"/>
      <c r="N42" s="16"/>
      <c r="O42" s="13"/>
      <c r="P42" s="13"/>
      <c r="Q42" s="16"/>
      <c r="R42" s="13"/>
      <c r="S42" s="16"/>
      <c r="T42" s="17"/>
      <c r="U42" s="16"/>
      <c r="V42" s="18"/>
      <c r="W42" s="14"/>
      <c r="X42" s="14"/>
      <c r="Y42" s="15"/>
      <c r="Z42" s="18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9"/>
      <c r="AO42" s="9"/>
    </row>
    <row r="43" spans="1:41" x14ac:dyDescent="0.2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19"/>
      <c r="AO43" s="9"/>
    </row>
    <row r="44" spans="1:41" ht="18" x14ac:dyDescent="0.25">
      <c r="B44" s="20"/>
      <c r="C44" s="20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19"/>
      <c r="AO44" s="9"/>
    </row>
    <row r="45" spans="1:41" ht="15" x14ac:dyDescent="0.2">
      <c r="B45" s="14"/>
      <c r="C45" s="14"/>
      <c r="D45" s="15"/>
      <c r="E45" s="15"/>
      <c r="F45" s="13"/>
      <c r="G45" s="13"/>
      <c r="H45" s="13"/>
      <c r="I45" s="13"/>
      <c r="J45" s="13"/>
      <c r="K45" s="16"/>
      <c r="L45" s="16"/>
      <c r="M45" s="16"/>
      <c r="N45" s="16"/>
      <c r="O45" s="13"/>
      <c r="P45" s="13"/>
      <c r="Q45" s="16"/>
      <c r="R45" s="13"/>
      <c r="S45" s="16"/>
      <c r="T45" s="17"/>
      <c r="U45" s="16"/>
      <c r="V45" s="18"/>
      <c r="W45" s="14"/>
      <c r="X45" s="14"/>
      <c r="Y45" s="15"/>
      <c r="Z45" s="18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9"/>
      <c r="AO45" s="9"/>
    </row>
    <row r="46" spans="1:41" ht="15" x14ac:dyDescent="0.2">
      <c r="B46" s="14"/>
      <c r="C46" s="14"/>
      <c r="D46" s="15"/>
      <c r="E46" s="15"/>
      <c r="F46" s="13"/>
      <c r="G46" s="13"/>
      <c r="H46" s="13"/>
      <c r="I46" s="13"/>
      <c r="J46" s="13"/>
      <c r="K46" s="16"/>
      <c r="L46" s="16"/>
      <c r="M46" s="16"/>
      <c r="N46" s="16"/>
      <c r="O46" s="13"/>
      <c r="P46" s="13"/>
      <c r="Q46" s="16"/>
      <c r="R46" s="13"/>
      <c r="S46" s="16"/>
      <c r="T46" s="17"/>
      <c r="U46" s="16"/>
      <c r="V46" s="18"/>
      <c r="W46" s="14"/>
      <c r="X46" s="14"/>
      <c r="Y46" s="15"/>
      <c r="Z46" s="18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9"/>
      <c r="AO46" s="9"/>
    </row>
    <row r="47" spans="1:41" x14ac:dyDescent="0.2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19"/>
      <c r="AO47" s="9"/>
    </row>
    <row r="48" spans="1:41" x14ac:dyDescent="0.2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19"/>
      <c r="AO48" s="9"/>
    </row>
    <row r="49" spans="2:41" x14ac:dyDescent="0.2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19"/>
      <c r="AO49" s="9"/>
    </row>
    <row r="50" spans="2:41" x14ac:dyDescent="0.2">
      <c r="AN50" s="12"/>
    </row>
    <row r="51" spans="2:41" x14ac:dyDescent="0.2">
      <c r="AN51" s="12"/>
    </row>
  </sheetData>
  <mergeCells count="66">
    <mergeCell ref="AD6:AD7"/>
    <mergeCell ref="AE6:AE7"/>
    <mergeCell ref="AF6:AF7"/>
    <mergeCell ref="AG6:AG7"/>
    <mergeCell ref="AM6:AM7"/>
    <mergeCell ref="AN6:AN8"/>
    <mergeCell ref="BD6:BD7"/>
    <mergeCell ref="AY5:BD5"/>
    <mergeCell ref="BE6:BE7"/>
    <mergeCell ref="AV6:AV7"/>
    <mergeCell ref="AW6:AW7"/>
    <mergeCell ref="AX6:AX7"/>
    <mergeCell ref="AY6:AY7"/>
    <mergeCell ref="AZ6:AZ7"/>
    <mergeCell ref="BA6:BA7"/>
    <mergeCell ref="BB6:BB7"/>
    <mergeCell ref="BC6:BC7"/>
    <mergeCell ref="AU6:AU7"/>
    <mergeCell ref="AR6:AR7"/>
    <mergeCell ref="AS6:AS7"/>
    <mergeCell ref="AT6:AT7"/>
    <mergeCell ref="AD2:AH2"/>
    <mergeCell ref="Y5:AC5"/>
    <mergeCell ref="AD5:AG5"/>
    <mergeCell ref="AP6:AP7"/>
    <mergeCell ref="AQ6:AQ7"/>
    <mergeCell ref="AH5:AL5"/>
    <mergeCell ref="AH6:AH7"/>
    <mergeCell ref="AI6:AI7"/>
    <mergeCell ref="AJ6:AJ7"/>
    <mergeCell ref="AK6:AK7"/>
    <mergeCell ref="AL6:AL7"/>
    <mergeCell ref="Y6:Y7"/>
    <mergeCell ref="B3:AN3"/>
    <mergeCell ref="B4:AN4"/>
    <mergeCell ref="B6:B7"/>
    <mergeCell ref="D6:D7"/>
    <mergeCell ref="B5:E5"/>
    <mergeCell ref="G5:I5"/>
    <mergeCell ref="J5:N5"/>
    <mergeCell ref="O5:P5"/>
    <mergeCell ref="R5:S5"/>
    <mergeCell ref="C6:C7"/>
    <mergeCell ref="AC6:AC7"/>
    <mergeCell ref="J6:J7"/>
    <mergeCell ref="E6:E7"/>
    <mergeCell ref="F6:F7"/>
    <mergeCell ref="O6:O7"/>
    <mergeCell ref="G6:G7"/>
    <mergeCell ref="H6:H7"/>
    <mergeCell ref="Z6:Z7"/>
    <mergeCell ref="AA6:AA7"/>
    <mergeCell ref="AB6:AB7"/>
    <mergeCell ref="I6:I7"/>
    <mergeCell ref="T5:V5"/>
    <mergeCell ref="V6:V7"/>
    <mergeCell ref="U6:U7"/>
    <mergeCell ref="K6:K7"/>
    <mergeCell ref="L6:L7"/>
    <mergeCell ref="M6:M7"/>
    <mergeCell ref="N6:N7"/>
    <mergeCell ref="Q6:Q7"/>
    <mergeCell ref="R6:R7"/>
    <mergeCell ref="S6:S7"/>
    <mergeCell ref="T6:T7"/>
    <mergeCell ref="P6:P7"/>
  </mergeCells>
  <pageMargins left="0" right="0" top="2.5" bottom="1" header="0.5" footer="0.5"/>
  <pageSetup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26"/>
  <sheetViews>
    <sheetView showGridLines="0" workbookViewId="0">
      <selection activeCell="E9" sqref="E9"/>
    </sheetView>
  </sheetViews>
  <sheetFormatPr defaultRowHeight="15" x14ac:dyDescent="0.25"/>
  <cols>
    <col min="3" max="3" width="11.28515625" customWidth="1"/>
    <col min="4" max="4" width="11.28515625" hidden="1" customWidth="1"/>
    <col min="5" max="5" width="11.28515625" customWidth="1"/>
    <col min="8" max="13" width="0" hidden="1" customWidth="1"/>
    <col min="16" max="16" width="0" hidden="1" customWidth="1"/>
  </cols>
  <sheetData>
    <row r="3" spans="2:26" ht="15.75" thickBot="1" x14ac:dyDescent="0.3"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</row>
    <row r="4" spans="2:26" ht="19.5" thickBot="1" x14ac:dyDescent="0.35">
      <c r="B4" s="90"/>
      <c r="C4" s="211" t="s">
        <v>172</v>
      </c>
      <c r="D4" s="212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91"/>
      <c r="S4" s="91"/>
      <c r="T4" s="91"/>
      <c r="U4" s="92"/>
      <c r="V4" s="90"/>
    </row>
    <row r="5" spans="2:26" ht="31.5" x14ac:dyDescent="0.25">
      <c r="B5" s="90"/>
      <c r="C5" s="93" t="s">
        <v>125</v>
      </c>
      <c r="D5" s="94" t="s">
        <v>126</v>
      </c>
      <c r="E5" s="94" t="s">
        <v>127</v>
      </c>
      <c r="F5" s="94" t="s">
        <v>53</v>
      </c>
      <c r="G5" s="94" t="s">
        <v>128</v>
      </c>
      <c r="H5" s="94" t="s">
        <v>129</v>
      </c>
      <c r="I5" s="94" t="s">
        <v>130</v>
      </c>
      <c r="J5" s="94" t="s">
        <v>131</v>
      </c>
      <c r="K5" s="94" t="s">
        <v>132</v>
      </c>
      <c r="L5" s="94" t="s">
        <v>133</v>
      </c>
      <c r="M5" s="94" t="s">
        <v>134</v>
      </c>
      <c r="N5" s="94" t="s">
        <v>135</v>
      </c>
      <c r="O5" s="94" t="s">
        <v>136</v>
      </c>
      <c r="P5" s="95" t="s">
        <v>137</v>
      </c>
      <c r="Q5" s="214" t="s">
        <v>138</v>
      </c>
      <c r="R5" s="215"/>
      <c r="S5" s="215"/>
      <c r="T5" s="215"/>
      <c r="U5" s="216"/>
      <c r="V5" s="90"/>
      <c r="Y5" s="148"/>
    </row>
    <row r="6" spans="2:26" ht="16.5" thickBot="1" x14ac:dyDescent="0.3">
      <c r="B6" s="90"/>
      <c r="C6" s="96">
        <v>1</v>
      </c>
      <c r="D6" s="97">
        <v>34435.5</v>
      </c>
      <c r="E6" s="98">
        <v>2.59</v>
      </c>
      <c r="F6" s="98">
        <v>0.35</v>
      </c>
      <c r="G6" s="99">
        <v>20</v>
      </c>
      <c r="H6" s="99">
        <v>3.36</v>
      </c>
      <c r="I6" s="100">
        <f>E6*F6*H6</f>
        <v>3.0458399999999992</v>
      </c>
      <c r="J6" s="99">
        <v>5.52</v>
      </c>
      <c r="K6" s="100">
        <f>E6*F6*J6</f>
        <v>5.0038799999999988</v>
      </c>
      <c r="L6" s="99">
        <v>6.96</v>
      </c>
      <c r="M6" s="100">
        <f>E6*F6*L6</f>
        <v>6.3092399999999991</v>
      </c>
      <c r="N6" s="100">
        <v>8.3000000000000007</v>
      </c>
      <c r="O6" s="100">
        <f>E6*F6*N6</f>
        <v>7.5239499999999992</v>
      </c>
      <c r="P6" s="101">
        <v>1</v>
      </c>
      <c r="Q6" s="106" t="s">
        <v>205</v>
      </c>
      <c r="R6" s="102"/>
      <c r="S6" s="103"/>
      <c r="T6" s="103"/>
      <c r="U6" s="104"/>
      <c r="V6" s="90"/>
      <c r="Y6">
        <v>0.35</v>
      </c>
      <c r="Z6" s="148">
        <f>Y6*N6*E6</f>
        <v>7.5239500000000001</v>
      </c>
    </row>
    <row r="7" spans="2:26" ht="16.5" thickBot="1" x14ac:dyDescent="0.3">
      <c r="B7" s="90"/>
      <c r="C7" s="96">
        <f>C6+1</f>
        <v>2</v>
      </c>
      <c r="D7" s="97">
        <v>119867.7</v>
      </c>
      <c r="E7" s="98">
        <v>2.91</v>
      </c>
      <c r="F7" s="98">
        <v>0.35</v>
      </c>
      <c r="G7" s="99">
        <v>20</v>
      </c>
      <c r="H7" s="99">
        <v>3.36</v>
      </c>
      <c r="I7" s="100">
        <f t="shared" ref="I7:I11" si="0">E7*F7*H7</f>
        <v>3.4221599999999999</v>
      </c>
      <c r="J7" s="99">
        <v>6.52</v>
      </c>
      <c r="K7" s="100">
        <f t="shared" ref="K7:K11" si="1">E7*F7*J7</f>
        <v>6.6406199999999993</v>
      </c>
      <c r="L7" s="99">
        <v>7.96</v>
      </c>
      <c r="M7" s="100">
        <f t="shared" ref="M7:M11" si="2">E7*F7*L7</f>
        <v>8.1072600000000001</v>
      </c>
      <c r="N7" s="100">
        <v>8.3000000000000007</v>
      </c>
      <c r="O7" s="100">
        <f t="shared" ref="O7:O11" si="3">E7*F7*N7</f>
        <v>8.4535499999999999</v>
      </c>
      <c r="P7" s="101">
        <v>2</v>
      </c>
      <c r="Q7" s="106" t="s">
        <v>206</v>
      </c>
      <c r="R7" s="102"/>
      <c r="S7" s="103"/>
      <c r="T7" s="103"/>
      <c r="U7" s="104"/>
      <c r="V7" s="105"/>
      <c r="Y7">
        <v>0.35</v>
      </c>
      <c r="Z7" s="148">
        <f t="shared" ref="Z7:Z22" si="4">Y7*N7*E7</f>
        <v>8.4535500000000017</v>
      </c>
    </row>
    <row r="8" spans="2:26" ht="16.5" thickBot="1" x14ac:dyDescent="0.3">
      <c r="C8" s="96">
        <f t="shared" ref="C8" si="5">C7+1</f>
        <v>3</v>
      </c>
      <c r="D8" s="97">
        <v>17520</v>
      </c>
      <c r="E8" s="98">
        <v>3.68</v>
      </c>
      <c r="F8" s="98">
        <v>0.35</v>
      </c>
      <c r="G8" s="99">
        <v>20</v>
      </c>
      <c r="H8" s="99">
        <v>3.36</v>
      </c>
      <c r="I8" s="100">
        <f t="shared" si="0"/>
        <v>4.32768</v>
      </c>
      <c r="J8" s="99">
        <v>7.52</v>
      </c>
      <c r="K8" s="100">
        <f t="shared" si="1"/>
        <v>9.6857600000000001</v>
      </c>
      <c r="L8" s="99">
        <v>8.9600000000000009</v>
      </c>
      <c r="M8" s="100">
        <f t="shared" si="2"/>
        <v>11.540480000000001</v>
      </c>
      <c r="N8" s="100">
        <v>8.3000000000000007</v>
      </c>
      <c r="O8" s="100">
        <f t="shared" si="3"/>
        <v>10.6904</v>
      </c>
      <c r="P8" s="101">
        <v>3</v>
      </c>
      <c r="Q8" s="106" t="s">
        <v>170</v>
      </c>
      <c r="R8" s="102"/>
      <c r="S8" s="103"/>
      <c r="T8" s="103"/>
      <c r="U8" s="104"/>
      <c r="Y8">
        <v>0.35</v>
      </c>
      <c r="Z8" s="148">
        <f t="shared" si="4"/>
        <v>10.690400000000002</v>
      </c>
    </row>
    <row r="9" spans="2:26" ht="16.5" thickBot="1" x14ac:dyDescent="0.3">
      <c r="C9" s="96" t="s">
        <v>167</v>
      </c>
      <c r="D9" s="97">
        <v>10007</v>
      </c>
      <c r="E9" s="98">
        <v>1.44</v>
      </c>
      <c r="F9" s="98">
        <v>0.75</v>
      </c>
      <c r="G9" s="99">
        <v>10</v>
      </c>
      <c r="H9" s="99">
        <v>3.36</v>
      </c>
      <c r="I9" s="100">
        <f t="shared" si="0"/>
        <v>3.6288</v>
      </c>
      <c r="J9" s="99">
        <v>8.52</v>
      </c>
      <c r="K9" s="100">
        <f t="shared" si="1"/>
        <v>9.2016000000000009</v>
      </c>
      <c r="L9" s="99">
        <v>9.9600000000000009</v>
      </c>
      <c r="M9" s="100">
        <f t="shared" si="2"/>
        <v>10.756800000000002</v>
      </c>
      <c r="N9" s="100">
        <v>9.8000000000000007</v>
      </c>
      <c r="O9" s="100">
        <f t="shared" si="3"/>
        <v>10.584000000000001</v>
      </c>
      <c r="P9" s="101">
        <v>4</v>
      </c>
      <c r="Q9" s="106" t="s">
        <v>206</v>
      </c>
      <c r="R9" s="102"/>
      <c r="S9" s="103"/>
      <c r="T9" s="103"/>
      <c r="U9" s="104"/>
      <c r="Y9">
        <v>0.35</v>
      </c>
      <c r="Z9" s="148">
        <f t="shared" si="4"/>
        <v>4.9392000000000005</v>
      </c>
    </row>
    <row r="10" spans="2:26" ht="16.5" thickBot="1" x14ac:dyDescent="0.3">
      <c r="C10" s="96" t="s">
        <v>168</v>
      </c>
      <c r="D10" s="97">
        <v>12064.2</v>
      </c>
      <c r="E10" s="98">
        <v>0.8</v>
      </c>
      <c r="F10" s="98">
        <v>0.75</v>
      </c>
      <c r="G10" s="99">
        <v>10</v>
      </c>
      <c r="H10" s="99">
        <v>3.36</v>
      </c>
      <c r="I10" s="100">
        <f t="shared" si="0"/>
        <v>2.016</v>
      </c>
      <c r="J10" s="99">
        <v>9.52</v>
      </c>
      <c r="K10" s="100">
        <f t="shared" si="1"/>
        <v>5.7120000000000006</v>
      </c>
      <c r="L10" s="99">
        <v>10.96</v>
      </c>
      <c r="M10" s="100">
        <f t="shared" si="2"/>
        <v>6.5760000000000014</v>
      </c>
      <c r="N10" s="100">
        <v>9.8000000000000007</v>
      </c>
      <c r="O10" s="100">
        <f t="shared" si="3"/>
        <v>5.8800000000000017</v>
      </c>
      <c r="P10" s="101">
        <v>5</v>
      </c>
      <c r="Q10" s="106" t="s">
        <v>207</v>
      </c>
      <c r="R10" s="102"/>
      <c r="S10" s="103"/>
      <c r="T10" s="103"/>
      <c r="U10" s="104"/>
      <c r="Y10">
        <v>0.35</v>
      </c>
      <c r="Z10" s="148">
        <f t="shared" si="4"/>
        <v>2.7440000000000002</v>
      </c>
    </row>
    <row r="11" spans="2:26" ht="16.5" thickBot="1" x14ac:dyDescent="0.3">
      <c r="C11" s="96" t="s">
        <v>169</v>
      </c>
      <c r="D11" s="97">
        <v>26083.200000000001</v>
      </c>
      <c r="E11" s="98">
        <v>0.24</v>
      </c>
      <c r="F11" s="98">
        <v>0.75</v>
      </c>
      <c r="G11" s="99">
        <v>10</v>
      </c>
      <c r="H11" s="99">
        <v>3.36</v>
      </c>
      <c r="I11" s="100">
        <f t="shared" si="0"/>
        <v>0.6048</v>
      </c>
      <c r="J11" s="99">
        <v>10.52</v>
      </c>
      <c r="K11" s="100">
        <f t="shared" si="1"/>
        <v>1.8935999999999999</v>
      </c>
      <c r="L11" s="99">
        <v>11.96</v>
      </c>
      <c r="M11" s="100">
        <f t="shared" si="2"/>
        <v>2.1528</v>
      </c>
      <c r="N11" s="100">
        <v>9.8000000000000007</v>
      </c>
      <c r="O11" s="100">
        <f t="shared" si="3"/>
        <v>1.764</v>
      </c>
      <c r="P11" s="101">
        <v>6</v>
      </c>
      <c r="Q11" s="106" t="s">
        <v>170</v>
      </c>
      <c r="R11" s="102"/>
      <c r="S11" s="103"/>
      <c r="T11" s="103"/>
      <c r="U11" s="104"/>
      <c r="Y11">
        <v>0.35</v>
      </c>
      <c r="Z11" s="148">
        <f t="shared" si="4"/>
        <v>0.82320000000000004</v>
      </c>
    </row>
    <row r="12" spans="2:26" x14ac:dyDescent="0.25">
      <c r="Y12">
        <v>0.35</v>
      </c>
      <c r="Z12" s="148">
        <f t="shared" si="4"/>
        <v>0</v>
      </c>
    </row>
    <row r="13" spans="2:26" ht="17.25" x14ac:dyDescent="0.25">
      <c r="C13" t="s">
        <v>165</v>
      </c>
      <c r="E13" t="s">
        <v>204</v>
      </c>
      <c r="Y13">
        <v>0.35</v>
      </c>
      <c r="Z13" s="148" t="e">
        <f t="shared" si="4"/>
        <v>#VALUE!</v>
      </c>
    </row>
    <row r="14" spans="2:26" ht="17.25" x14ac:dyDescent="0.25">
      <c r="E14" t="s">
        <v>166</v>
      </c>
      <c r="Y14">
        <v>0.35</v>
      </c>
      <c r="Z14" s="148" t="e">
        <f t="shared" si="4"/>
        <v>#VALUE!</v>
      </c>
    </row>
    <row r="15" spans="2:26" x14ac:dyDescent="0.25">
      <c r="Y15">
        <v>0.35</v>
      </c>
      <c r="Z15" s="148">
        <f t="shared" si="4"/>
        <v>0</v>
      </c>
    </row>
    <row r="16" spans="2:26" x14ac:dyDescent="0.25">
      <c r="Y16">
        <v>0.35</v>
      </c>
      <c r="Z16" s="148">
        <f t="shared" si="4"/>
        <v>0</v>
      </c>
    </row>
    <row r="17" spans="5:26" x14ac:dyDescent="0.25">
      <c r="Y17">
        <v>0.35</v>
      </c>
      <c r="Z17" s="148">
        <f t="shared" si="4"/>
        <v>0</v>
      </c>
    </row>
    <row r="18" spans="5:26" x14ac:dyDescent="0.25">
      <c r="Y18">
        <v>0.35</v>
      </c>
      <c r="Z18" s="148">
        <f t="shared" si="4"/>
        <v>0</v>
      </c>
    </row>
    <row r="19" spans="5:26" x14ac:dyDescent="0.25">
      <c r="Y19">
        <v>0.35</v>
      </c>
      <c r="Z19" s="148">
        <f t="shared" si="4"/>
        <v>0</v>
      </c>
    </row>
    <row r="20" spans="5:26" x14ac:dyDescent="0.25">
      <c r="Y20">
        <v>0.35</v>
      </c>
      <c r="Z20" s="148">
        <f t="shared" si="4"/>
        <v>0</v>
      </c>
    </row>
    <row r="21" spans="5:26" x14ac:dyDescent="0.25">
      <c r="Y21">
        <v>0.35</v>
      </c>
      <c r="Z21" s="148">
        <f t="shared" si="4"/>
        <v>0</v>
      </c>
    </row>
    <row r="22" spans="5:26" x14ac:dyDescent="0.25">
      <c r="Y22">
        <v>0.35</v>
      </c>
      <c r="Z22" s="148">
        <f t="shared" si="4"/>
        <v>0</v>
      </c>
    </row>
    <row r="23" spans="5:26" x14ac:dyDescent="0.25">
      <c r="E23" s="148"/>
      <c r="O23" s="148"/>
      <c r="Z23" s="148" t="e">
        <f>SUM(Z6:Z22)</f>
        <v>#VALUE!</v>
      </c>
    </row>
    <row r="25" spans="5:26" x14ac:dyDescent="0.25">
      <c r="X25" t="s">
        <v>161</v>
      </c>
      <c r="Y25" s="148"/>
      <c r="Z25" s="148" t="e">
        <f>E6+E7+E8+E9+E10+E11+E12+E13+E14+E15+E17+E22</f>
        <v>#VALUE!</v>
      </c>
    </row>
    <row r="26" spans="5:26" x14ac:dyDescent="0.25">
      <c r="X26" t="s">
        <v>160</v>
      </c>
      <c r="Y26" s="148">
        <f>O18+O19+O20+O21+O22+O16</f>
        <v>0</v>
      </c>
      <c r="Z26" s="148">
        <f>E16+E18+E19+E20+E21</f>
        <v>0</v>
      </c>
    </row>
  </sheetData>
  <mergeCells count="2">
    <mergeCell ref="C4:Q4"/>
    <mergeCell ref="Q5:U5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26"/>
  <sheetViews>
    <sheetView showGridLines="0" workbookViewId="0">
      <selection activeCell="O6" sqref="O6"/>
    </sheetView>
  </sheetViews>
  <sheetFormatPr defaultRowHeight="15" x14ac:dyDescent="0.25"/>
  <cols>
    <col min="3" max="3" width="11.28515625" customWidth="1"/>
    <col min="4" max="4" width="11.28515625" hidden="1" customWidth="1"/>
    <col min="5" max="5" width="11.28515625" customWidth="1"/>
    <col min="8" max="13" width="0" hidden="1" customWidth="1"/>
    <col min="16" max="16" width="0" hidden="1" customWidth="1"/>
  </cols>
  <sheetData>
    <row r="3" spans="2:26" ht="15.75" thickBot="1" x14ac:dyDescent="0.3"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</row>
    <row r="4" spans="2:26" ht="19.5" thickBot="1" x14ac:dyDescent="0.35">
      <c r="B4" s="90"/>
      <c r="C4" s="211" t="s">
        <v>164</v>
      </c>
      <c r="D4" s="212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91"/>
      <c r="S4" s="91"/>
      <c r="T4" s="91"/>
      <c r="U4" s="92"/>
      <c r="V4" s="90"/>
    </row>
    <row r="5" spans="2:26" ht="31.5" x14ac:dyDescent="0.25">
      <c r="B5" s="90"/>
      <c r="C5" s="93" t="s">
        <v>125</v>
      </c>
      <c r="D5" s="94" t="s">
        <v>126</v>
      </c>
      <c r="E5" s="94" t="s">
        <v>127</v>
      </c>
      <c r="F5" s="94" t="s">
        <v>53</v>
      </c>
      <c r="G5" s="94" t="s">
        <v>128</v>
      </c>
      <c r="H5" s="94" t="s">
        <v>129</v>
      </c>
      <c r="I5" s="94" t="s">
        <v>130</v>
      </c>
      <c r="J5" s="94" t="s">
        <v>131</v>
      </c>
      <c r="K5" s="94" t="s">
        <v>132</v>
      </c>
      <c r="L5" s="94" t="s">
        <v>133</v>
      </c>
      <c r="M5" s="94" t="s">
        <v>134</v>
      </c>
      <c r="N5" s="94" t="s">
        <v>135</v>
      </c>
      <c r="O5" s="94" t="s">
        <v>136</v>
      </c>
      <c r="P5" s="95" t="s">
        <v>137</v>
      </c>
      <c r="Q5" s="214" t="s">
        <v>138</v>
      </c>
      <c r="R5" s="215"/>
      <c r="S5" s="215"/>
      <c r="T5" s="215"/>
      <c r="U5" s="216"/>
      <c r="V5" s="90"/>
      <c r="Y5" s="148"/>
    </row>
    <row r="6" spans="2:26" ht="16.5" thickBot="1" x14ac:dyDescent="0.3">
      <c r="B6" s="90"/>
      <c r="C6" s="96">
        <v>1</v>
      </c>
      <c r="D6" s="97">
        <v>34435.5</v>
      </c>
      <c r="E6" s="98">
        <f>D6/43560</f>
        <v>0.79053030303030303</v>
      </c>
      <c r="F6" s="98">
        <v>0.9</v>
      </c>
      <c r="G6" s="99">
        <v>10</v>
      </c>
      <c r="H6" s="99">
        <v>3.36</v>
      </c>
      <c r="I6" s="100">
        <f>E6*F6*H6</f>
        <v>2.3905636363636367</v>
      </c>
      <c r="J6" s="99">
        <v>5.52</v>
      </c>
      <c r="K6" s="100">
        <f>E6*F6*J6</f>
        <v>3.9273545454545453</v>
      </c>
      <c r="L6" s="99">
        <v>6.96</v>
      </c>
      <c r="M6" s="100">
        <f>E6*F6*L6</f>
        <v>4.9518818181818185</v>
      </c>
      <c r="N6" s="98">
        <v>9.8000000000000007</v>
      </c>
      <c r="O6" s="98">
        <v>7</v>
      </c>
      <c r="P6" s="101">
        <v>1</v>
      </c>
      <c r="Q6" s="106" t="s">
        <v>139</v>
      </c>
      <c r="R6" s="102"/>
      <c r="S6" s="103"/>
      <c r="T6" s="103"/>
      <c r="U6" s="104"/>
      <c r="V6" s="90"/>
      <c r="Y6">
        <v>0.35</v>
      </c>
      <c r="Z6" s="148">
        <f>Y6*N6*E6</f>
        <v>2.7115189393939394</v>
      </c>
    </row>
    <row r="7" spans="2:26" ht="16.5" thickBot="1" x14ac:dyDescent="0.3">
      <c r="B7" s="90"/>
      <c r="C7" s="96">
        <f>C6+1</f>
        <v>2</v>
      </c>
      <c r="D7" s="97">
        <v>119867.7</v>
      </c>
      <c r="E7" s="98">
        <v>2.67</v>
      </c>
      <c r="F7" s="98">
        <v>0.9</v>
      </c>
      <c r="G7" s="99">
        <v>10</v>
      </c>
      <c r="H7" s="99">
        <v>3.36</v>
      </c>
      <c r="I7" s="100">
        <f t="shared" ref="I7:I21" si="0">E7*F7*H7</f>
        <v>8.0740800000000004</v>
      </c>
      <c r="J7" s="99">
        <v>6.52</v>
      </c>
      <c r="K7" s="100">
        <f t="shared" ref="K7:K21" si="1">E7*F7*J7</f>
        <v>15.66756</v>
      </c>
      <c r="L7" s="99">
        <v>7.96</v>
      </c>
      <c r="M7" s="100">
        <f t="shared" ref="M7:M21" si="2">E7*F7*L7</f>
        <v>19.127880000000001</v>
      </c>
      <c r="N7" s="98">
        <v>9.8000000000000007</v>
      </c>
      <c r="O7" s="98">
        <f t="shared" ref="O7:O21" si="3">F7*$N7*$E7</f>
        <v>23.549399999999999</v>
      </c>
      <c r="P7" s="101">
        <v>2</v>
      </c>
      <c r="Q7" s="106" t="s">
        <v>140</v>
      </c>
      <c r="R7" s="102"/>
      <c r="S7" s="103"/>
      <c r="T7" s="103"/>
      <c r="U7" s="104"/>
      <c r="V7" s="105"/>
      <c r="Y7">
        <v>0.35</v>
      </c>
      <c r="Z7" s="148">
        <f t="shared" ref="Z7:Z22" si="4">Y7*N7*E7</f>
        <v>9.158100000000001</v>
      </c>
    </row>
    <row r="8" spans="2:26" ht="16.5" thickBot="1" x14ac:dyDescent="0.3">
      <c r="C8" s="96">
        <f t="shared" ref="C8:C22" si="5">C7+1</f>
        <v>3</v>
      </c>
      <c r="D8" s="97">
        <v>17520</v>
      </c>
      <c r="E8" s="98">
        <f t="shared" ref="E8:E19" si="6">D8/43560</f>
        <v>0.40220385674931131</v>
      </c>
      <c r="F8" s="98">
        <v>0.9</v>
      </c>
      <c r="G8" s="99">
        <v>10</v>
      </c>
      <c r="H8" s="99">
        <v>3.36</v>
      </c>
      <c r="I8" s="100">
        <f t="shared" si="0"/>
        <v>1.2162644628099173</v>
      </c>
      <c r="J8" s="99">
        <v>7.52</v>
      </c>
      <c r="K8" s="100">
        <f t="shared" si="1"/>
        <v>2.7221157024793388</v>
      </c>
      <c r="L8" s="99">
        <v>8.9600000000000009</v>
      </c>
      <c r="M8" s="100">
        <f t="shared" si="2"/>
        <v>3.2433719008264466</v>
      </c>
      <c r="N8" s="98">
        <v>9.8000000000000007</v>
      </c>
      <c r="O8" s="98">
        <f t="shared" si="3"/>
        <v>3.5474380165289259</v>
      </c>
      <c r="P8" s="101">
        <v>3</v>
      </c>
      <c r="Q8" s="106" t="s">
        <v>156</v>
      </c>
      <c r="R8" s="102"/>
      <c r="S8" s="103"/>
      <c r="T8" s="103"/>
      <c r="U8" s="104"/>
      <c r="Y8">
        <v>0.35</v>
      </c>
      <c r="Z8" s="148">
        <f t="shared" si="4"/>
        <v>1.3795592286501379</v>
      </c>
    </row>
    <row r="9" spans="2:26" ht="16.5" thickBot="1" x14ac:dyDescent="0.3">
      <c r="C9" s="96">
        <f t="shared" si="5"/>
        <v>4</v>
      </c>
      <c r="D9" s="97">
        <v>10007</v>
      </c>
      <c r="E9" s="98">
        <f t="shared" si="6"/>
        <v>0.22972910927456383</v>
      </c>
      <c r="F9" s="98">
        <v>0.9</v>
      </c>
      <c r="G9" s="99">
        <v>10</v>
      </c>
      <c r="H9" s="99">
        <v>3.36</v>
      </c>
      <c r="I9" s="100">
        <f t="shared" si="0"/>
        <v>0.69470082644628106</v>
      </c>
      <c r="J9" s="99">
        <v>8.52</v>
      </c>
      <c r="K9" s="100">
        <f t="shared" si="1"/>
        <v>1.7615628099173555</v>
      </c>
      <c r="L9" s="99">
        <v>9.9600000000000009</v>
      </c>
      <c r="M9" s="100">
        <f t="shared" si="2"/>
        <v>2.0592917355371902</v>
      </c>
      <c r="N9" s="98">
        <v>9.8000000000000007</v>
      </c>
      <c r="O9" s="98">
        <f t="shared" si="3"/>
        <v>2.026210743801653</v>
      </c>
      <c r="P9" s="101">
        <v>4</v>
      </c>
      <c r="Q9" s="106" t="s">
        <v>142</v>
      </c>
      <c r="R9" s="102"/>
      <c r="S9" s="103"/>
      <c r="T9" s="103"/>
      <c r="U9" s="104"/>
      <c r="Y9">
        <v>0.35</v>
      </c>
      <c r="Z9" s="148">
        <f t="shared" si="4"/>
        <v>0.78797084481175395</v>
      </c>
    </row>
    <row r="10" spans="2:26" ht="16.5" thickBot="1" x14ac:dyDescent="0.3">
      <c r="C10" s="96">
        <f t="shared" si="5"/>
        <v>5</v>
      </c>
      <c r="D10" s="97">
        <v>12064.2</v>
      </c>
      <c r="E10" s="98">
        <f t="shared" si="6"/>
        <v>0.2769559228650138</v>
      </c>
      <c r="F10" s="98">
        <v>0.9</v>
      </c>
      <c r="G10" s="99">
        <v>10</v>
      </c>
      <c r="H10" s="99">
        <v>3.36</v>
      </c>
      <c r="I10" s="100">
        <f t="shared" si="0"/>
        <v>0.83751471074380179</v>
      </c>
      <c r="J10" s="99">
        <v>9.52</v>
      </c>
      <c r="K10" s="100">
        <f t="shared" si="1"/>
        <v>2.3729583471074385</v>
      </c>
      <c r="L10" s="99">
        <v>10.96</v>
      </c>
      <c r="M10" s="100">
        <f t="shared" si="2"/>
        <v>2.7318932231404967</v>
      </c>
      <c r="N10" s="98">
        <v>9.8000000000000007</v>
      </c>
      <c r="O10" s="98">
        <f t="shared" si="3"/>
        <v>2.442751239669422</v>
      </c>
      <c r="P10" s="101">
        <v>5</v>
      </c>
      <c r="Q10" s="106" t="s">
        <v>142</v>
      </c>
      <c r="R10" s="102"/>
      <c r="S10" s="103"/>
      <c r="T10" s="103"/>
      <c r="U10" s="104"/>
      <c r="Y10">
        <v>0.35</v>
      </c>
      <c r="Z10" s="148">
        <f t="shared" si="4"/>
        <v>0.94995881542699734</v>
      </c>
    </row>
    <row r="11" spans="2:26" ht="16.5" thickBot="1" x14ac:dyDescent="0.3">
      <c r="C11" s="96">
        <f t="shared" si="5"/>
        <v>6</v>
      </c>
      <c r="D11" s="97">
        <v>26083.200000000001</v>
      </c>
      <c r="E11" s="98">
        <f t="shared" si="6"/>
        <v>0.59878787878787876</v>
      </c>
      <c r="F11" s="98">
        <v>0.9</v>
      </c>
      <c r="G11" s="99">
        <v>10</v>
      </c>
      <c r="H11" s="99">
        <v>3.36</v>
      </c>
      <c r="I11" s="100">
        <f t="shared" si="0"/>
        <v>1.8107345454545454</v>
      </c>
      <c r="J11" s="99">
        <v>10.52</v>
      </c>
      <c r="K11" s="100">
        <f t="shared" si="1"/>
        <v>5.6693236363636359</v>
      </c>
      <c r="L11" s="99">
        <v>11.96</v>
      </c>
      <c r="M11" s="100">
        <f t="shared" si="2"/>
        <v>6.4453527272727271</v>
      </c>
      <c r="N11" s="98">
        <v>9.8000000000000007</v>
      </c>
      <c r="O11" s="98">
        <f t="shared" si="3"/>
        <v>5.2813090909090912</v>
      </c>
      <c r="P11" s="101">
        <v>6</v>
      </c>
      <c r="Q11" s="106" t="s">
        <v>141</v>
      </c>
      <c r="R11" s="102"/>
      <c r="S11" s="103"/>
      <c r="T11" s="103"/>
      <c r="U11" s="104"/>
      <c r="Y11">
        <v>0.35</v>
      </c>
      <c r="Z11" s="148">
        <f t="shared" si="4"/>
        <v>2.0538424242424242</v>
      </c>
    </row>
    <row r="12" spans="2:26" ht="16.5" thickBot="1" x14ac:dyDescent="0.3">
      <c r="C12" s="96">
        <f t="shared" si="5"/>
        <v>7</v>
      </c>
      <c r="D12" s="97">
        <v>58293.5</v>
      </c>
      <c r="E12" s="98">
        <f t="shared" si="6"/>
        <v>1.3382346189164371</v>
      </c>
      <c r="F12" s="98">
        <v>0.9</v>
      </c>
      <c r="G12" s="99">
        <v>10</v>
      </c>
      <c r="H12" s="99">
        <v>3.36</v>
      </c>
      <c r="I12" s="100">
        <f t="shared" si="0"/>
        <v>4.0468214876033057</v>
      </c>
      <c r="J12" s="99">
        <v>11.52</v>
      </c>
      <c r="K12" s="100">
        <f t="shared" si="1"/>
        <v>13.874816528925621</v>
      </c>
      <c r="L12" s="99">
        <v>12.96</v>
      </c>
      <c r="M12" s="100">
        <f t="shared" si="2"/>
        <v>15.609168595041325</v>
      </c>
      <c r="N12" s="98">
        <v>9.8000000000000007</v>
      </c>
      <c r="O12" s="98">
        <f t="shared" si="3"/>
        <v>11.803229338842977</v>
      </c>
      <c r="P12" s="101">
        <v>7</v>
      </c>
      <c r="Q12" s="106" t="s">
        <v>141</v>
      </c>
      <c r="R12" s="102"/>
      <c r="S12" s="103"/>
      <c r="T12" s="103"/>
      <c r="U12" s="104"/>
      <c r="Y12">
        <v>0.35</v>
      </c>
      <c r="Z12" s="148">
        <f t="shared" si="4"/>
        <v>4.5901447428833793</v>
      </c>
    </row>
    <row r="13" spans="2:26" ht="16.5" thickBot="1" x14ac:dyDescent="0.3">
      <c r="C13" s="96">
        <f t="shared" si="5"/>
        <v>8</v>
      </c>
      <c r="D13" s="97">
        <v>19747.7</v>
      </c>
      <c r="E13" s="98">
        <f t="shared" si="6"/>
        <v>0.45334481175390268</v>
      </c>
      <c r="F13" s="98">
        <v>0.9</v>
      </c>
      <c r="G13" s="99">
        <v>10</v>
      </c>
      <c r="H13" s="99">
        <v>3.36</v>
      </c>
      <c r="I13" s="100">
        <f t="shared" si="0"/>
        <v>1.3709147107438018</v>
      </c>
      <c r="J13" s="99">
        <v>12.52</v>
      </c>
      <c r="K13" s="100">
        <f t="shared" si="1"/>
        <v>5.1082893388429751</v>
      </c>
      <c r="L13" s="99">
        <v>13.96</v>
      </c>
      <c r="M13" s="100">
        <f t="shared" si="2"/>
        <v>5.6958242148760343</v>
      </c>
      <c r="N13" s="98">
        <v>9.8000000000000007</v>
      </c>
      <c r="O13" s="98">
        <f t="shared" si="3"/>
        <v>3.9985012396694217</v>
      </c>
      <c r="P13" s="101">
        <v>8</v>
      </c>
      <c r="Q13" s="106" t="s">
        <v>142</v>
      </c>
      <c r="R13" s="102"/>
      <c r="S13" s="103"/>
      <c r="T13" s="103"/>
      <c r="U13" s="104"/>
      <c r="Y13">
        <v>0.35</v>
      </c>
      <c r="Z13" s="148">
        <f t="shared" si="4"/>
        <v>1.5549727043158863</v>
      </c>
    </row>
    <row r="14" spans="2:26" ht="16.5" thickBot="1" x14ac:dyDescent="0.3">
      <c r="C14" s="96">
        <f t="shared" si="5"/>
        <v>9</v>
      </c>
      <c r="D14" s="97">
        <v>12077.2</v>
      </c>
      <c r="E14" s="98">
        <f t="shared" si="6"/>
        <v>0.27725436179981638</v>
      </c>
      <c r="F14" s="98">
        <v>0.9</v>
      </c>
      <c r="G14" s="99">
        <v>10</v>
      </c>
      <c r="H14" s="99">
        <v>3.36</v>
      </c>
      <c r="I14" s="100">
        <f t="shared" si="0"/>
        <v>0.8384171900826447</v>
      </c>
      <c r="J14" s="99">
        <v>13.52</v>
      </c>
      <c r="K14" s="100">
        <f t="shared" si="1"/>
        <v>3.3736310743801656</v>
      </c>
      <c r="L14" s="99">
        <v>14.96</v>
      </c>
      <c r="M14" s="100">
        <f t="shared" si="2"/>
        <v>3.7329527272727283</v>
      </c>
      <c r="N14" s="98">
        <v>9.8000000000000007</v>
      </c>
      <c r="O14" s="98">
        <f t="shared" si="3"/>
        <v>2.4453834710743805</v>
      </c>
      <c r="P14" s="101">
        <v>9</v>
      </c>
      <c r="Q14" s="106" t="s">
        <v>142</v>
      </c>
      <c r="R14" s="102"/>
      <c r="S14" s="103"/>
      <c r="T14" s="103"/>
      <c r="U14" s="104"/>
      <c r="Y14">
        <v>0.35</v>
      </c>
      <c r="Z14" s="148">
        <f t="shared" si="4"/>
        <v>0.95098246097337025</v>
      </c>
    </row>
    <row r="15" spans="2:26" ht="16.5" thickBot="1" x14ac:dyDescent="0.3">
      <c r="C15" s="96">
        <f t="shared" si="5"/>
        <v>10</v>
      </c>
      <c r="D15" s="97">
        <v>27908.2</v>
      </c>
      <c r="E15" s="98">
        <f t="shared" si="6"/>
        <v>0.64068411386593205</v>
      </c>
      <c r="F15" s="98">
        <v>0.9</v>
      </c>
      <c r="G15" s="99">
        <v>10</v>
      </c>
      <c r="H15" s="99">
        <v>3.36</v>
      </c>
      <c r="I15" s="100">
        <f t="shared" si="0"/>
        <v>1.9374287603305786</v>
      </c>
      <c r="J15" s="99">
        <v>14.52</v>
      </c>
      <c r="K15" s="100">
        <f t="shared" si="1"/>
        <v>8.3724600000000002</v>
      </c>
      <c r="L15" s="99">
        <v>15.96</v>
      </c>
      <c r="M15" s="100">
        <f t="shared" si="2"/>
        <v>9.2027866115702501</v>
      </c>
      <c r="N15" s="98">
        <v>9.8000000000000007</v>
      </c>
      <c r="O15" s="98">
        <f t="shared" si="3"/>
        <v>5.650833884297521</v>
      </c>
      <c r="P15" s="101">
        <v>10</v>
      </c>
      <c r="Q15" s="106" t="s">
        <v>157</v>
      </c>
      <c r="R15" s="102"/>
      <c r="S15" s="103"/>
      <c r="T15" s="103"/>
      <c r="U15" s="104"/>
      <c r="Y15">
        <v>0.35</v>
      </c>
      <c r="Z15" s="148">
        <f t="shared" si="4"/>
        <v>2.197546510560147</v>
      </c>
    </row>
    <row r="16" spans="2:26" ht="16.5" thickBot="1" x14ac:dyDescent="0.3">
      <c r="C16" s="96">
        <f t="shared" si="5"/>
        <v>11</v>
      </c>
      <c r="D16" s="97">
        <v>1648.1</v>
      </c>
      <c r="E16" s="98">
        <v>0.09</v>
      </c>
      <c r="F16" s="98">
        <v>0.9</v>
      </c>
      <c r="G16" s="99">
        <v>10</v>
      </c>
      <c r="H16" s="99">
        <v>3.36</v>
      </c>
      <c r="I16" s="100">
        <f t="shared" si="0"/>
        <v>0.27216000000000001</v>
      </c>
      <c r="J16" s="99">
        <v>15.52</v>
      </c>
      <c r="K16" s="100">
        <f t="shared" si="1"/>
        <v>1.25712</v>
      </c>
      <c r="L16" s="99">
        <v>16.96</v>
      </c>
      <c r="M16" s="100">
        <f t="shared" si="2"/>
        <v>1.3737600000000001</v>
      </c>
      <c r="N16" s="98">
        <v>9.8000000000000007</v>
      </c>
      <c r="O16" s="98">
        <f t="shared" si="3"/>
        <v>0.79379999999999995</v>
      </c>
      <c r="P16" s="101">
        <v>11</v>
      </c>
      <c r="Q16" s="106" t="s">
        <v>143</v>
      </c>
      <c r="R16" s="102"/>
      <c r="S16" s="103"/>
      <c r="T16" s="103"/>
      <c r="U16" s="104"/>
      <c r="Y16">
        <v>0.35</v>
      </c>
      <c r="Z16" s="148">
        <f t="shared" si="4"/>
        <v>0.30870000000000003</v>
      </c>
    </row>
    <row r="17" spans="3:26" ht="16.5" thickBot="1" x14ac:dyDescent="0.3">
      <c r="C17" s="96">
        <f t="shared" si="5"/>
        <v>12</v>
      </c>
      <c r="D17" s="97">
        <v>15050.5</v>
      </c>
      <c r="E17" s="98">
        <f t="shared" si="6"/>
        <v>0.34551193755739212</v>
      </c>
      <c r="F17" s="98">
        <v>0.9</v>
      </c>
      <c r="G17" s="99">
        <v>10</v>
      </c>
      <c r="H17" s="99">
        <v>3.36</v>
      </c>
      <c r="I17" s="100">
        <f t="shared" si="0"/>
        <v>1.0448280991735537</v>
      </c>
      <c r="J17" s="99">
        <v>16.52</v>
      </c>
      <c r="K17" s="100">
        <f t="shared" si="1"/>
        <v>5.1370714876033059</v>
      </c>
      <c r="L17" s="99">
        <v>17.96</v>
      </c>
      <c r="M17" s="100">
        <f t="shared" si="2"/>
        <v>5.5848549586776866</v>
      </c>
      <c r="N17" s="98">
        <v>9.8000000000000007</v>
      </c>
      <c r="O17" s="98">
        <f t="shared" si="3"/>
        <v>3.0474152892561985</v>
      </c>
      <c r="P17" s="101">
        <v>12</v>
      </c>
      <c r="Q17" s="102" t="s">
        <v>158</v>
      </c>
      <c r="R17" s="102"/>
      <c r="S17" s="103"/>
      <c r="T17" s="103"/>
      <c r="U17" s="104"/>
      <c r="Y17">
        <v>0.35</v>
      </c>
      <c r="Z17" s="148">
        <f t="shared" si="4"/>
        <v>1.1851059458218551</v>
      </c>
    </row>
    <row r="18" spans="3:26" ht="16.5" thickBot="1" x14ac:dyDescent="0.3">
      <c r="C18" s="96">
        <f t="shared" si="5"/>
        <v>13</v>
      </c>
      <c r="D18" s="97">
        <v>3967.2</v>
      </c>
      <c r="E18" s="98">
        <f t="shared" si="6"/>
        <v>9.1074380165289251E-2</v>
      </c>
      <c r="F18" s="98">
        <v>0.9</v>
      </c>
      <c r="G18" s="99">
        <v>10</v>
      </c>
      <c r="H18" s="99">
        <v>3.36</v>
      </c>
      <c r="I18" s="100">
        <f t="shared" si="0"/>
        <v>0.27540892561983465</v>
      </c>
      <c r="J18" s="99">
        <v>17.52</v>
      </c>
      <c r="K18" s="100">
        <f t="shared" si="1"/>
        <v>1.4360608264462809</v>
      </c>
      <c r="L18" s="99">
        <v>18.96</v>
      </c>
      <c r="M18" s="100">
        <f t="shared" si="2"/>
        <v>1.5540932231404958</v>
      </c>
      <c r="N18" s="98">
        <v>9.8000000000000007</v>
      </c>
      <c r="O18" s="98">
        <f t="shared" si="3"/>
        <v>0.80327603305785122</v>
      </c>
      <c r="P18" s="101">
        <v>13</v>
      </c>
      <c r="Q18" s="106" t="s">
        <v>144</v>
      </c>
      <c r="R18" s="102"/>
      <c r="S18" s="103"/>
      <c r="T18" s="103"/>
      <c r="U18" s="104"/>
      <c r="Y18">
        <v>0.35</v>
      </c>
      <c r="Z18" s="148">
        <f t="shared" si="4"/>
        <v>0.31238512396694212</v>
      </c>
    </row>
    <row r="19" spans="3:26" ht="16.5" thickBot="1" x14ac:dyDescent="0.3">
      <c r="C19" s="96">
        <f t="shared" si="5"/>
        <v>14</v>
      </c>
      <c r="D19" s="97">
        <v>7392.8</v>
      </c>
      <c r="E19" s="98">
        <f t="shared" si="6"/>
        <v>0.16971533516988063</v>
      </c>
      <c r="F19" s="98">
        <v>0.9</v>
      </c>
      <c r="G19" s="99">
        <v>10</v>
      </c>
      <c r="H19" s="99">
        <v>3.36</v>
      </c>
      <c r="I19" s="100">
        <f t="shared" si="0"/>
        <v>0.51321917355371904</v>
      </c>
      <c r="J19" s="99">
        <v>18.52</v>
      </c>
      <c r="K19" s="100">
        <f t="shared" si="1"/>
        <v>2.8288152066115706</v>
      </c>
      <c r="L19" s="99">
        <v>19.96</v>
      </c>
      <c r="M19" s="100">
        <f t="shared" si="2"/>
        <v>3.0487662809917362</v>
      </c>
      <c r="N19" s="98">
        <v>9.8000000000000007</v>
      </c>
      <c r="O19" s="98">
        <f t="shared" si="3"/>
        <v>1.4968892561983471</v>
      </c>
      <c r="P19" s="101">
        <v>14</v>
      </c>
      <c r="Q19" s="106" t="s">
        <v>145</v>
      </c>
      <c r="R19" s="102"/>
      <c r="S19" s="103"/>
      <c r="T19" s="103"/>
      <c r="U19" s="104"/>
      <c r="Y19">
        <v>0.35</v>
      </c>
      <c r="Z19" s="148">
        <f t="shared" si="4"/>
        <v>0.58212359963269056</v>
      </c>
    </row>
    <row r="20" spans="3:26" ht="16.5" thickBot="1" x14ac:dyDescent="0.3">
      <c r="C20" s="96">
        <f t="shared" si="5"/>
        <v>15</v>
      </c>
      <c r="D20" s="97">
        <v>16944.900000000001</v>
      </c>
      <c r="E20" s="98">
        <v>0.44</v>
      </c>
      <c r="F20" s="98">
        <v>0.9</v>
      </c>
      <c r="G20" s="99">
        <v>10</v>
      </c>
      <c r="H20" s="99">
        <v>3.36</v>
      </c>
      <c r="I20" s="100">
        <f t="shared" si="0"/>
        <v>1.33056</v>
      </c>
      <c r="J20" s="99">
        <v>19.52</v>
      </c>
      <c r="K20" s="100">
        <f t="shared" si="1"/>
        <v>7.7299199999999999</v>
      </c>
      <c r="L20" s="99">
        <v>20.96</v>
      </c>
      <c r="M20" s="100">
        <f t="shared" si="2"/>
        <v>8.30016</v>
      </c>
      <c r="N20" s="98">
        <v>9.8000000000000007</v>
      </c>
      <c r="O20" s="98">
        <f t="shared" si="3"/>
        <v>3.8808000000000002</v>
      </c>
      <c r="P20" s="101">
        <v>15</v>
      </c>
      <c r="Q20" s="106" t="s">
        <v>146</v>
      </c>
      <c r="R20" s="102"/>
      <c r="S20" s="103"/>
      <c r="T20" s="103"/>
      <c r="U20" s="104"/>
      <c r="Y20">
        <v>0.35</v>
      </c>
      <c r="Z20" s="148">
        <f t="shared" si="4"/>
        <v>1.5092000000000001</v>
      </c>
    </row>
    <row r="21" spans="3:26" ht="16.5" thickBot="1" x14ac:dyDescent="0.3">
      <c r="C21" s="96">
        <f t="shared" si="5"/>
        <v>16</v>
      </c>
      <c r="D21" s="97">
        <v>12196.8</v>
      </c>
      <c r="E21" s="98">
        <v>0.32</v>
      </c>
      <c r="F21" s="98">
        <v>0.9</v>
      </c>
      <c r="G21" s="99">
        <v>10</v>
      </c>
      <c r="H21" s="99">
        <v>3.36</v>
      </c>
      <c r="I21" s="100">
        <f t="shared" si="0"/>
        <v>0.9676800000000001</v>
      </c>
      <c r="J21" s="99">
        <v>20.52</v>
      </c>
      <c r="K21" s="100">
        <f t="shared" si="1"/>
        <v>5.9097600000000003</v>
      </c>
      <c r="L21" s="99">
        <v>21.96</v>
      </c>
      <c r="M21" s="100">
        <f t="shared" si="2"/>
        <v>6.3244800000000012</v>
      </c>
      <c r="N21" s="98">
        <v>9.8000000000000007</v>
      </c>
      <c r="O21" s="98">
        <f t="shared" si="3"/>
        <v>2.8224</v>
      </c>
      <c r="P21" s="101">
        <v>16</v>
      </c>
      <c r="Q21" s="106" t="s">
        <v>147</v>
      </c>
      <c r="R21" s="102"/>
      <c r="S21" s="103"/>
      <c r="T21" s="103"/>
      <c r="U21" s="104"/>
      <c r="Y21">
        <v>0.35</v>
      </c>
      <c r="Z21" s="148">
        <f t="shared" si="4"/>
        <v>1.0976000000000001</v>
      </c>
    </row>
    <row r="22" spans="3:26" ht="16.5" thickBot="1" x14ac:dyDescent="0.3">
      <c r="C22" s="96">
        <f t="shared" si="5"/>
        <v>17</v>
      </c>
      <c r="D22" s="97">
        <v>4492.3</v>
      </c>
      <c r="E22" s="98">
        <f t="shared" ref="E22" si="7">D22/43560</f>
        <v>0.10312901744719927</v>
      </c>
      <c r="F22" s="98">
        <v>0.9</v>
      </c>
      <c r="G22" s="99">
        <v>10</v>
      </c>
      <c r="H22" s="99">
        <v>3.36</v>
      </c>
      <c r="I22" s="100">
        <f t="shared" ref="I22" si="8">E22*F22*H22</f>
        <v>0.31186214876033058</v>
      </c>
      <c r="J22" s="99">
        <v>20.52</v>
      </c>
      <c r="K22" s="100">
        <f t="shared" ref="K22" si="9">E22*F22*J22</f>
        <v>1.9045866942148761</v>
      </c>
      <c r="L22" s="99">
        <v>21.96</v>
      </c>
      <c r="M22" s="100">
        <f t="shared" ref="M22" si="10">E22*F22*L22</f>
        <v>2.0382419008264465</v>
      </c>
      <c r="N22" s="98">
        <v>9.8000000000000007</v>
      </c>
      <c r="O22" s="98">
        <f t="shared" ref="O22" si="11">F22*$N22*$E22</f>
        <v>0.90959793388429755</v>
      </c>
      <c r="P22" s="101">
        <v>16</v>
      </c>
      <c r="Q22" s="106" t="s">
        <v>159</v>
      </c>
      <c r="R22" s="102"/>
      <c r="S22" s="103"/>
      <c r="T22" s="103"/>
      <c r="U22" s="104"/>
      <c r="Y22">
        <v>0.35</v>
      </c>
      <c r="Z22" s="148">
        <f t="shared" si="4"/>
        <v>0.35373252984389353</v>
      </c>
    </row>
    <row r="23" spans="3:26" x14ac:dyDescent="0.25">
      <c r="E23" s="148"/>
      <c r="O23" s="148"/>
      <c r="Z23" s="148">
        <f>SUM(Z6:Z22)</f>
        <v>31.683443870523423</v>
      </c>
    </row>
    <row r="25" spans="3:26" x14ac:dyDescent="0.25">
      <c r="X25" t="s">
        <v>161</v>
      </c>
      <c r="Y25" s="148"/>
      <c r="Z25" s="148">
        <f>E6+E7+E8+E9+E10+E11+E12+E13+E14+E15+E17+E22</f>
        <v>8.1263659320477508</v>
      </c>
    </row>
    <row r="26" spans="3:26" x14ac:dyDescent="0.25">
      <c r="X26" t="s">
        <v>160</v>
      </c>
      <c r="Y26" s="148">
        <f>O18+O19+O20+O21+O22+O16</f>
        <v>10.706763223140495</v>
      </c>
      <c r="Z26" s="148">
        <f>E16+E18+E19+E20+E21</f>
        <v>1.11078971533517</v>
      </c>
    </row>
  </sheetData>
  <mergeCells count="2">
    <mergeCell ref="C4:Q4"/>
    <mergeCell ref="Q5:U5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4"/>
  <sheetViews>
    <sheetView showGridLines="0" showRuler="0" topLeftCell="B1" zoomScaleNormal="100" workbookViewId="0">
      <selection activeCell="H29" sqref="H29"/>
    </sheetView>
  </sheetViews>
  <sheetFormatPr defaultColWidth="8.85546875" defaultRowHeight="14.25" x14ac:dyDescent="0.2"/>
  <cols>
    <col min="1" max="5" width="8.85546875" style="34"/>
    <col min="6" max="20" width="8.85546875" style="34" customWidth="1"/>
    <col min="21" max="21" width="8.85546875" style="107" customWidth="1"/>
    <col min="22" max="22" width="11" style="34" customWidth="1"/>
    <col min="23" max="24" width="11" style="34" hidden="1" customWidth="1"/>
    <col min="25" max="27" width="8.85546875" style="34" customWidth="1"/>
    <col min="28" max="28" width="10.140625" style="34" customWidth="1"/>
    <col min="29" max="29" width="8.85546875" style="34" customWidth="1"/>
    <col min="30" max="30" width="8.85546875" style="107" customWidth="1"/>
    <col min="31" max="38" width="8.85546875" style="34" customWidth="1"/>
    <col min="39" max="39" width="8.85546875" style="107" customWidth="1"/>
    <col min="40" max="41" width="8.85546875" style="107"/>
    <col min="42" max="42" width="33.7109375" style="34" customWidth="1"/>
    <col min="43" max="16384" width="8.85546875" style="34"/>
  </cols>
  <sheetData>
    <row r="1" spans="1:47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120"/>
      <c r="V1" s="33"/>
      <c r="W1" s="33"/>
      <c r="X1" s="33"/>
      <c r="Y1" s="33"/>
      <c r="Z1" s="33"/>
      <c r="AA1" s="33"/>
      <c r="AB1" s="33"/>
      <c r="AC1" s="33"/>
      <c r="AD1" s="120"/>
      <c r="AE1" s="33"/>
      <c r="AF1" s="33"/>
      <c r="AG1" s="33"/>
      <c r="AH1" s="33"/>
      <c r="AI1" s="33"/>
      <c r="AJ1" s="33"/>
      <c r="AK1" s="33"/>
      <c r="AL1" s="33"/>
      <c r="AM1" s="120"/>
    </row>
    <row r="2" spans="1:47" ht="15" thickBot="1" x14ac:dyDescent="0.25"/>
    <row r="3" spans="1:47" ht="16.5" thickBot="1" x14ac:dyDescent="0.3">
      <c r="B3" s="199" t="s">
        <v>6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1"/>
      <c r="AN3" s="201"/>
      <c r="AO3" s="201"/>
      <c r="AP3" s="202"/>
    </row>
    <row r="4" spans="1:47" ht="16.5" thickBot="1" x14ac:dyDescent="0.3">
      <c r="B4" s="199" t="s">
        <v>5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201"/>
      <c r="AN4" s="201"/>
      <c r="AO4" s="201"/>
      <c r="AP4" s="202"/>
    </row>
    <row r="5" spans="1:47" ht="16.149999999999999" customHeight="1" x14ac:dyDescent="0.2">
      <c r="B5" s="203" t="s">
        <v>8</v>
      </c>
      <c r="C5" s="205" t="s">
        <v>9</v>
      </c>
      <c r="D5" s="207" t="s">
        <v>10</v>
      </c>
      <c r="E5" s="207" t="s">
        <v>11</v>
      </c>
      <c r="F5" s="208" t="s">
        <v>0</v>
      </c>
      <c r="G5" s="209"/>
      <c r="H5" s="209"/>
      <c r="I5" s="209"/>
      <c r="J5" s="210"/>
      <c r="K5" s="208" t="s">
        <v>19</v>
      </c>
      <c r="L5" s="209"/>
      <c r="M5" s="209"/>
      <c r="N5" s="209"/>
      <c r="O5" s="210"/>
      <c r="P5" s="208" t="s">
        <v>27</v>
      </c>
      <c r="Q5" s="209"/>
      <c r="R5" s="210"/>
      <c r="S5" s="208" t="s">
        <v>30</v>
      </c>
      <c r="T5" s="209"/>
      <c r="U5" s="209"/>
      <c r="V5" s="209"/>
      <c r="W5" s="209"/>
      <c r="X5" s="209"/>
      <c r="Y5" s="210"/>
      <c r="Z5" s="208" t="s">
        <v>35</v>
      </c>
      <c r="AA5" s="210"/>
      <c r="AB5" s="208" t="s">
        <v>37</v>
      </c>
      <c r="AC5" s="209"/>
      <c r="AD5" s="210"/>
      <c r="AE5" s="208" t="s">
        <v>41</v>
      </c>
      <c r="AF5" s="210"/>
      <c r="AG5" s="208" t="s">
        <v>42</v>
      </c>
      <c r="AH5" s="209"/>
      <c r="AI5" s="209"/>
      <c r="AJ5" s="209"/>
      <c r="AK5" s="210"/>
      <c r="AL5" s="208" t="s">
        <v>45</v>
      </c>
      <c r="AM5" s="209"/>
      <c r="AN5" s="209"/>
      <c r="AO5" s="210"/>
      <c r="AP5" s="196" t="s">
        <v>50</v>
      </c>
    </row>
    <row r="6" spans="1:47" ht="106.9" customHeight="1" x14ac:dyDescent="0.2">
      <c r="B6" s="204"/>
      <c r="C6" s="206"/>
      <c r="D6" s="206"/>
      <c r="E6" s="206"/>
      <c r="F6" s="59" t="s">
        <v>0</v>
      </c>
      <c r="G6" s="35" t="s">
        <v>18</v>
      </c>
      <c r="H6" s="35" t="s">
        <v>15</v>
      </c>
      <c r="I6" s="59" t="s">
        <v>16</v>
      </c>
      <c r="J6" s="59" t="s">
        <v>17</v>
      </c>
      <c r="K6" s="59" t="s">
        <v>20</v>
      </c>
      <c r="L6" s="59" t="s">
        <v>23</v>
      </c>
      <c r="M6" s="35" t="s">
        <v>24</v>
      </c>
      <c r="N6" s="35" t="s">
        <v>25</v>
      </c>
      <c r="O6" s="35" t="s">
        <v>26</v>
      </c>
      <c r="P6" s="35" t="s">
        <v>162</v>
      </c>
      <c r="Q6" s="59" t="s">
        <v>29</v>
      </c>
      <c r="R6" s="59" t="s">
        <v>28</v>
      </c>
      <c r="S6" s="35" t="s">
        <v>31</v>
      </c>
      <c r="T6" s="35" t="s">
        <v>32</v>
      </c>
      <c r="U6" s="121" t="s">
        <v>33</v>
      </c>
      <c r="V6" s="35" t="s">
        <v>34</v>
      </c>
      <c r="W6" s="35" t="s">
        <v>54</v>
      </c>
      <c r="X6" s="35" t="s">
        <v>51</v>
      </c>
      <c r="Y6" s="35" t="s">
        <v>28</v>
      </c>
      <c r="Z6" s="59" t="s">
        <v>36</v>
      </c>
      <c r="AA6" s="59" t="s">
        <v>35</v>
      </c>
      <c r="AB6" s="35" t="s">
        <v>38</v>
      </c>
      <c r="AC6" s="35" t="s">
        <v>39</v>
      </c>
      <c r="AD6" s="121" t="s">
        <v>40</v>
      </c>
      <c r="AE6" s="35" t="s">
        <v>58</v>
      </c>
      <c r="AF6" s="35" t="s">
        <v>59</v>
      </c>
      <c r="AG6" s="35" t="s">
        <v>60</v>
      </c>
      <c r="AH6" s="35" t="s">
        <v>61</v>
      </c>
      <c r="AI6" s="35" t="s">
        <v>43</v>
      </c>
      <c r="AJ6" s="35" t="s">
        <v>62</v>
      </c>
      <c r="AK6" s="35" t="s">
        <v>44</v>
      </c>
      <c r="AL6" s="35" t="s">
        <v>46</v>
      </c>
      <c r="AM6" s="121" t="s">
        <v>47</v>
      </c>
      <c r="AN6" s="121" t="s">
        <v>48</v>
      </c>
      <c r="AO6" s="121" t="s">
        <v>49</v>
      </c>
      <c r="AP6" s="197"/>
    </row>
    <row r="7" spans="1:47" x14ac:dyDescent="0.2">
      <c r="B7" s="60"/>
      <c r="C7" s="61" t="s">
        <v>12</v>
      </c>
      <c r="D7" s="61" t="s">
        <v>12</v>
      </c>
      <c r="E7" s="61" t="s">
        <v>13</v>
      </c>
      <c r="F7" s="49" t="s">
        <v>14</v>
      </c>
      <c r="G7" s="49" t="s">
        <v>14</v>
      </c>
      <c r="H7" s="49"/>
      <c r="I7" s="36"/>
      <c r="J7" s="36"/>
      <c r="K7" s="49" t="s">
        <v>21</v>
      </c>
      <c r="L7" s="49" t="s">
        <v>22</v>
      </c>
      <c r="M7" s="49" t="s">
        <v>22</v>
      </c>
      <c r="N7" s="49" t="s">
        <v>22</v>
      </c>
      <c r="O7" s="49" t="s">
        <v>1</v>
      </c>
      <c r="P7" s="49" t="s">
        <v>2</v>
      </c>
      <c r="Q7" s="49" t="s">
        <v>2</v>
      </c>
      <c r="R7" s="49" t="s">
        <v>2</v>
      </c>
      <c r="S7" s="49"/>
      <c r="T7" s="49" t="s">
        <v>56</v>
      </c>
      <c r="U7" s="122" t="s">
        <v>104</v>
      </c>
      <c r="V7" s="49" t="s">
        <v>3</v>
      </c>
      <c r="W7" s="49"/>
      <c r="X7" s="49"/>
      <c r="Y7" s="49" t="s">
        <v>2</v>
      </c>
      <c r="Z7" s="49" t="s">
        <v>3</v>
      </c>
      <c r="AA7" s="49" t="s">
        <v>13</v>
      </c>
      <c r="AB7" s="49" t="s">
        <v>13</v>
      </c>
      <c r="AC7" s="49" t="s">
        <v>13</v>
      </c>
      <c r="AD7" s="122" t="s">
        <v>13</v>
      </c>
      <c r="AE7" s="49" t="s">
        <v>4</v>
      </c>
      <c r="AF7" s="49" t="s">
        <v>4</v>
      </c>
      <c r="AG7" s="49" t="s">
        <v>13</v>
      </c>
      <c r="AH7" s="49" t="s">
        <v>13</v>
      </c>
      <c r="AI7" s="36"/>
      <c r="AJ7" s="49" t="s">
        <v>13</v>
      </c>
      <c r="AK7" s="49" t="s">
        <v>13</v>
      </c>
      <c r="AL7" s="49" t="s">
        <v>13</v>
      </c>
      <c r="AM7" s="122" t="s">
        <v>13</v>
      </c>
      <c r="AN7" s="122" t="s">
        <v>13</v>
      </c>
      <c r="AO7" s="122" t="s">
        <v>13</v>
      </c>
      <c r="AP7" s="198"/>
    </row>
    <row r="8" spans="1:47" ht="15" thickBot="1" x14ac:dyDescent="0.25">
      <c r="B8" s="62">
        <v>1</v>
      </c>
      <c r="C8" s="37">
        <f>B8+1</f>
        <v>2</v>
      </c>
      <c r="D8" s="37">
        <f t="shared" ref="D8:AP8" si="0">C8+1</f>
        <v>3</v>
      </c>
      <c r="E8" s="37">
        <f t="shared" si="0"/>
        <v>4</v>
      </c>
      <c r="F8" s="37">
        <f t="shared" si="0"/>
        <v>5</v>
      </c>
      <c r="G8" s="37">
        <f t="shared" si="0"/>
        <v>6</v>
      </c>
      <c r="H8" s="37">
        <f t="shared" si="0"/>
        <v>7</v>
      </c>
      <c r="I8" s="37">
        <f t="shared" si="0"/>
        <v>8</v>
      </c>
      <c r="J8" s="37">
        <f t="shared" si="0"/>
        <v>9</v>
      </c>
      <c r="K8" s="37">
        <f t="shared" si="0"/>
        <v>10</v>
      </c>
      <c r="L8" s="37">
        <f t="shared" si="0"/>
        <v>11</v>
      </c>
      <c r="M8" s="37">
        <f t="shared" si="0"/>
        <v>12</v>
      </c>
      <c r="N8" s="37">
        <f t="shared" si="0"/>
        <v>13</v>
      </c>
      <c r="O8" s="37">
        <f t="shared" si="0"/>
        <v>14</v>
      </c>
      <c r="P8" s="37">
        <f t="shared" si="0"/>
        <v>15</v>
      </c>
      <c r="Q8" s="37">
        <f t="shared" si="0"/>
        <v>16</v>
      </c>
      <c r="R8" s="37">
        <f t="shared" si="0"/>
        <v>17</v>
      </c>
      <c r="S8" s="37">
        <f t="shared" si="0"/>
        <v>18</v>
      </c>
      <c r="T8" s="37">
        <f t="shared" si="0"/>
        <v>19</v>
      </c>
      <c r="U8" s="123">
        <f t="shared" si="0"/>
        <v>20</v>
      </c>
      <c r="V8" s="37">
        <f t="shared" si="0"/>
        <v>21</v>
      </c>
      <c r="W8" s="37"/>
      <c r="X8" s="37"/>
      <c r="Y8" s="37">
        <f>V8+1</f>
        <v>22</v>
      </c>
      <c r="Z8" s="37">
        <f t="shared" si="0"/>
        <v>23</v>
      </c>
      <c r="AA8" s="37">
        <f t="shared" si="0"/>
        <v>24</v>
      </c>
      <c r="AB8" s="37">
        <f t="shared" si="0"/>
        <v>25</v>
      </c>
      <c r="AC8" s="37">
        <f t="shared" si="0"/>
        <v>26</v>
      </c>
      <c r="AD8" s="123">
        <f t="shared" si="0"/>
        <v>27</v>
      </c>
      <c r="AE8" s="37">
        <f t="shared" si="0"/>
        <v>28</v>
      </c>
      <c r="AF8" s="37">
        <f t="shared" si="0"/>
        <v>29</v>
      </c>
      <c r="AG8" s="37">
        <f t="shared" si="0"/>
        <v>30</v>
      </c>
      <c r="AH8" s="37">
        <f t="shared" si="0"/>
        <v>31</v>
      </c>
      <c r="AI8" s="37">
        <f t="shared" si="0"/>
        <v>32</v>
      </c>
      <c r="AJ8" s="37">
        <f t="shared" si="0"/>
        <v>33</v>
      </c>
      <c r="AK8" s="37">
        <f t="shared" si="0"/>
        <v>34</v>
      </c>
      <c r="AL8" s="37">
        <f t="shared" si="0"/>
        <v>35</v>
      </c>
      <c r="AM8" s="123">
        <f t="shared" si="0"/>
        <v>36</v>
      </c>
      <c r="AN8" s="123">
        <f t="shared" si="0"/>
        <v>37</v>
      </c>
      <c r="AO8" s="123">
        <f t="shared" si="0"/>
        <v>38</v>
      </c>
      <c r="AP8" s="63">
        <f t="shared" si="0"/>
        <v>39</v>
      </c>
    </row>
    <row r="9" spans="1:47" ht="18.75" thickBot="1" x14ac:dyDescent="0.3">
      <c r="B9" s="57" t="s">
        <v>7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124"/>
      <c r="V9" s="38"/>
      <c r="W9" s="38"/>
      <c r="X9" s="38"/>
      <c r="Y9" s="38"/>
      <c r="Z9" s="38"/>
      <c r="AA9" s="38"/>
      <c r="AB9" s="38"/>
      <c r="AC9" s="38"/>
      <c r="AD9" s="124"/>
      <c r="AE9" s="38"/>
      <c r="AF9" s="38"/>
      <c r="AG9" s="38"/>
      <c r="AH9" s="38"/>
      <c r="AI9" s="38"/>
      <c r="AJ9" s="38"/>
      <c r="AK9" s="38"/>
      <c r="AL9" s="38"/>
      <c r="AM9" s="124"/>
      <c r="AN9" s="124"/>
      <c r="AO9" s="124"/>
      <c r="AP9" s="64"/>
    </row>
    <row r="10" spans="1:47" ht="15.75" thickBot="1" x14ac:dyDescent="0.25">
      <c r="B10" s="137"/>
      <c r="C10" s="50">
        <v>592.22</v>
      </c>
      <c r="D10" s="50">
        <f t="shared" ref="D10:D16" si="1">C11</f>
        <v>586.22</v>
      </c>
      <c r="E10" s="41">
        <f t="shared" ref="E10:E17" si="2">C10-D10</f>
        <v>6</v>
      </c>
      <c r="F10" s="41">
        <v>0.64</v>
      </c>
      <c r="G10" s="41">
        <v>0.64</v>
      </c>
      <c r="H10" s="41">
        <v>0.9</v>
      </c>
      <c r="I10" s="41">
        <f t="shared" ref="I10" si="3">H10*G10</f>
        <v>0.57600000000000007</v>
      </c>
      <c r="J10" s="41">
        <f>I10</f>
        <v>0.57600000000000007</v>
      </c>
      <c r="K10" s="138">
        <v>100</v>
      </c>
      <c r="L10" s="138">
        <v>10</v>
      </c>
      <c r="M10" s="138">
        <v>0</v>
      </c>
      <c r="N10" s="138">
        <f t="shared" ref="N10" si="4">L10+M10</f>
        <v>10</v>
      </c>
      <c r="O10" s="41">
        <v>9.8000000000000007</v>
      </c>
      <c r="P10" s="41">
        <f>I10*O10</f>
        <v>5.6448000000000009</v>
      </c>
      <c r="Q10" s="138">
        <v>0</v>
      </c>
      <c r="R10" s="41">
        <f t="shared" ref="R10" si="5">P10</f>
        <v>5.6448000000000009</v>
      </c>
      <c r="S10" s="138">
        <v>1</v>
      </c>
      <c r="T10" s="139" t="s">
        <v>55</v>
      </c>
      <c r="U10" s="140">
        <v>18</v>
      </c>
      <c r="V10" s="141">
        <f t="shared" ref="V10" si="6">(AN10-AO10)/(E10)</f>
        <v>4.9999999999954525E-3</v>
      </c>
      <c r="W10" s="142">
        <f t="shared" ref="W10" si="7">((((U10/12)/2)^2)*3.14159)/((U10/12)*3.14159)</f>
        <v>0.37500000000000006</v>
      </c>
      <c r="X10" s="142">
        <f t="shared" ref="X10" si="8">3.14159*((U10/12)/2)^2</f>
        <v>1.767144375</v>
      </c>
      <c r="Y10" s="50">
        <f t="shared" ref="Y10" si="9">R10</f>
        <v>5.6448000000000009</v>
      </c>
      <c r="Z10" s="141">
        <f t="shared" ref="Z10:Z17" si="10">(AF10^2*0.013^2)/(2.208*W10^(4/3))</f>
        <v>2.8890970918662531E-3</v>
      </c>
      <c r="AA10" s="41">
        <f t="shared" ref="AA10" si="11">Z10*E10</f>
        <v>1.7334582551197519E-2</v>
      </c>
      <c r="AB10" s="41">
        <f t="shared" ref="AB10" si="12">AC10+AA10</f>
        <v>535.02213321889656</v>
      </c>
      <c r="AC10" s="41">
        <f t="shared" ref="AC10:AC14" si="13">AD11</f>
        <v>535.00479863634541</v>
      </c>
      <c r="AD10" s="118">
        <f>IF(AK10&gt;0,AB10+AK10,AB10)</f>
        <v>535.18063360500764</v>
      </c>
      <c r="AE10" s="41">
        <v>0</v>
      </c>
      <c r="AF10" s="41">
        <f t="shared" ref="AF10:AF16" si="14">R10/(((U10/12)/2)^2*3.141)</f>
        <v>3.1949060808659668</v>
      </c>
      <c r="AG10" s="41">
        <f t="shared" ref="AG10" si="15">(AE10^2)/64.4</f>
        <v>0</v>
      </c>
      <c r="AH10" s="41">
        <f t="shared" ref="AH10" si="16">(AF10^2)/64.4</f>
        <v>0.1585003861110921</v>
      </c>
      <c r="AI10" s="41">
        <v>1</v>
      </c>
      <c r="AJ10" s="41">
        <f t="shared" ref="AJ10" si="17">AI10*AG10</f>
        <v>0</v>
      </c>
      <c r="AK10" s="41">
        <f t="shared" ref="AK10:AK17" si="18">IF( (AH10-AJ10) &lt; 0,0,(AH10-AJ10))</f>
        <v>0.1585003861110921</v>
      </c>
      <c r="AL10" s="41">
        <v>538.20000000000005</v>
      </c>
      <c r="AM10" s="143">
        <f t="shared" ref="AM10" si="19">AL10-AD10</f>
        <v>3.019366394992403</v>
      </c>
      <c r="AN10" s="143">
        <f t="shared" ref="AN10:AN17" si="20">(E10*0.005)+AO10</f>
        <v>532.31245000000001</v>
      </c>
      <c r="AO10" s="143">
        <f t="shared" ref="AO10:AO16" si="21">AN11</f>
        <v>532.28245000000004</v>
      </c>
      <c r="AP10" s="48" t="s">
        <v>150</v>
      </c>
    </row>
    <row r="11" spans="1:47" s="107" customFormat="1" ht="15" x14ac:dyDescent="0.2">
      <c r="B11" s="108"/>
      <c r="C11" s="109">
        <v>586.22</v>
      </c>
      <c r="D11" s="109">
        <f t="shared" si="1"/>
        <v>462.76</v>
      </c>
      <c r="E11" s="110">
        <f t="shared" si="2"/>
        <v>123.46000000000004</v>
      </c>
      <c r="F11" s="110">
        <v>0.64</v>
      </c>
      <c r="G11" s="110">
        <f>F11</f>
        <v>0.64</v>
      </c>
      <c r="H11" s="110">
        <v>0.9</v>
      </c>
      <c r="I11" s="110">
        <f t="shared" ref="I11:I18" si="22">H11*G11</f>
        <v>0.57600000000000007</v>
      </c>
      <c r="J11" s="110">
        <f>I11</f>
        <v>0.57600000000000007</v>
      </c>
      <c r="K11" s="112">
        <v>100</v>
      </c>
      <c r="L11" s="112">
        <v>10</v>
      </c>
      <c r="M11" s="112">
        <v>0</v>
      </c>
      <c r="N11" s="112">
        <f t="shared" ref="N11:N18" si="23">L11+M11</f>
        <v>10</v>
      </c>
      <c r="O11" s="110">
        <v>9.8000000000000007</v>
      </c>
      <c r="P11" s="110">
        <f t="shared" ref="P11:P25" si="24">I11*O11</f>
        <v>5.6448000000000009</v>
      </c>
      <c r="Q11" s="112">
        <v>0</v>
      </c>
      <c r="R11" s="110">
        <f t="shared" ref="R11:R18" si="25">P11</f>
        <v>5.6448000000000009</v>
      </c>
      <c r="S11" s="112">
        <v>1</v>
      </c>
      <c r="T11" s="113" t="s">
        <v>55</v>
      </c>
      <c r="U11" s="112">
        <v>18</v>
      </c>
      <c r="V11" s="114">
        <f t="shared" ref="V11:V18" si="26">(AN11-AO11)/(E11)</f>
        <v>5.0000000000000001E-3</v>
      </c>
      <c r="W11" s="115">
        <f t="shared" ref="W11:W18" si="27">((((U11/12)/2)^2)*3.14159)/((U11/12)*3.14159)</f>
        <v>0.37500000000000006</v>
      </c>
      <c r="X11" s="115">
        <f t="shared" ref="X11:X18" si="28">3.14159*((U11/12)/2)^2</f>
        <v>1.767144375</v>
      </c>
      <c r="Y11" s="109">
        <f t="shared" ref="Y11:Y18" si="29">R11</f>
        <v>5.6448000000000009</v>
      </c>
      <c r="Z11" s="114">
        <f t="shared" si="10"/>
        <v>2.8890970918662531E-3</v>
      </c>
      <c r="AA11" s="110">
        <f t="shared" ref="AA11:AA18" si="30">Z11*E11</f>
        <v>0.35668792696180773</v>
      </c>
      <c r="AB11" s="110">
        <f t="shared" ref="AB11:AB15" si="31">AC11+AA11</f>
        <v>535.00479863634541</v>
      </c>
      <c r="AC11" s="110">
        <f t="shared" si="13"/>
        <v>534.64811070938356</v>
      </c>
      <c r="AD11" s="110">
        <f t="shared" ref="AD11:AD18" si="32">IF(AK11&gt;0,AB11+AK11,AB11)</f>
        <v>535.00479863634541</v>
      </c>
      <c r="AE11" s="110">
        <f t="shared" ref="AE11:AE16" si="33">AF10</f>
        <v>3.1949060808659668</v>
      </c>
      <c r="AF11" s="110">
        <f t="shared" si="14"/>
        <v>3.1949060808659668</v>
      </c>
      <c r="AG11" s="110">
        <f t="shared" ref="AG11:AG17" si="34">(AE11^2)/64.4</f>
        <v>0.1585003861110921</v>
      </c>
      <c r="AH11" s="110">
        <f t="shared" ref="AH11:AH17" si="35">(AF11^2)/64.4</f>
        <v>0.1585003861110921</v>
      </c>
      <c r="AI11" s="110">
        <v>1</v>
      </c>
      <c r="AJ11" s="110">
        <f t="shared" ref="AJ11:AJ17" si="36">AI11*AG11</f>
        <v>0.1585003861110921</v>
      </c>
      <c r="AK11" s="110">
        <f t="shared" si="18"/>
        <v>0</v>
      </c>
      <c r="AL11" s="110">
        <v>538.15</v>
      </c>
      <c r="AM11" s="109">
        <f t="shared" ref="AM11:AM17" si="37">AL11-AD11</f>
        <v>3.1452013636545644</v>
      </c>
      <c r="AN11" s="109">
        <f t="shared" si="20"/>
        <v>532.28245000000004</v>
      </c>
      <c r="AO11" s="109">
        <f t="shared" si="21"/>
        <v>531.66515000000004</v>
      </c>
      <c r="AP11" s="116" t="s">
        <v>150</v>
      </c>
      <c r="AT11" s="117"/>
      <c r="AU11" s="143"/>
    </row>
    <row r="12" spans="1:47" ht="15" x14ac:dyDescent="0.2">
      <c r="B12" s="52"/>
      <c r="C12" s="53">
        <v>462.76</v>
      </c>
      <c r="D12" s="53">
        <f t="shared" si="1"/>
        <v>444.96</v>
      </c>
      <c r="E12" s="39">
        <f t="shared" si="2"/>
        <v>17.800000000000011</v>
      </c>
      <c r="F12" s="39">
        <v>0.28000000000000003</v>
      </c>
      <c r="G12" s="39">
        <f t="shared" ref="G12:G17" si="38">G11+F12</f>
        <v>0.92</v>
      </c>
      <c r="H12" s="39">
        <v>0.9</v>
      </c>
      <c r="I12" s="39">
        <f t="shared" si="22"/>
        <v>0.82800000000000007</v>
      </c>
      <c r="J12" s="39">
        <f t="shared" ref="J12:J18" si="39">J11+I12</f>
        <v>1.4040000000000001</v>
      </c>
      <c r="K12" s="54">
        <v>100</v>
      </c>
      <c r="L12" s="54">
        <v>10</v>
      </c>
      <c r="M12" s="54">
        <v>0</v>
      </c>
      <c r="N12" s="54">
        <f t="shared" si="23"/>
        <v>10</v>
      </c>
      <c r="O12" s="39">
        <v>9.8000000000000007</v>
      </c>
      <c r="P12" s="39">
        <f t="shared" si="24"/>
        <v>8.1144000000000016</v>
      </c>
      <c r="Q12" s="54">
        <v>0</v>
      </c>
      <c r="R12" s="39">
        <f t="shared" si="25"/>
        <v>8.1144000000000016</v>
      </c>
      <c r="S12" s="54">
        <v>1</v>
      </c>
      <c r="T12" s="55" t="s">
        <v>55</v>
      </c>
      <c r="U12" s="112">
        <v>18</v>
      </c>
      <c r="V12" s="56">
        <f t="shared" si="26"/>
        <v>5.0000000000031139E-3</v>
      </c>
      <c r="W12" s="51">
        <f t="shared" si="27"/>
        <v>0.37500000000000006</v>
      </c>
      <c r="X12" s="51">
        <f t="shared" si="28"/>
        <v>1.767144375</v>
      </c>
      <c r="Y12" s="53">
        <f t="shared" si="29"/>
        <v>8.1144000000000016</v>
      </c>
      <c r="Z12" s="56">
        <f t="shared" si="10"/>
        <v>5.9700482874892515E-3</v>
      </c>
      <c r="AA12" s="39">
        <f t="shared" si="30"/>
        <v>0.10626685951730874</v>
      </c>
      <c r="AB12" s="39">
        <f t="shared" si="31"/>
        <v>534.47908490700729</v>
      </c>
      <c r="AC12" s="39">
        <f t="shared" si="13"/>
        <v>534.37281804749</v>
      </c>
      <c r="AD12" s="110">
        <f t="shared" si="32"/>
        <v>534.64811070938356</v>
      </c>
      <c r="AE12" s="39">
        <f t="shared" si="33"/>
        <v>3.1949060808659668</v>
      </c>
      <c r="AF12" s="39">
        <f t="shared" si="14"/>
        <v>4.592677491244828</v>
      </c>
      <c r="AG12" s="39">
        <f t="shared" si="34"/>
        <v>0.1585003861110921</v>
      </c>
      <c r="AH12" s="39">
        <f t="shared" si="35"/>
        <v>0.32752618848737403</v>
      </c>
      <c r="AI12" s="39">
        <v>1</v>
      </c>
      <c r="AJ12" s="39">
        <f t="shared" si="36"/>
        <v>0.1585003861110921</v>
      </c>
      <c r="AK12" s="39">
        <f t="shared" si="18"/>
        <v>0.16902580237628193</v>
      </c>
      <c r="AL12" s="39">
        <v>536.9</v>
      </c>
      <c r="AM12" s="109">
        <f t="shared" si="37"/>
        <v>2.2518892906164183</v>
      </c>
      <c r="AN12" s="109">
        <f t="shared" si="20"/>
        <v>531.66515000000004</v>
      </c>
      <c r="AO12" s="109">
        <f t="shared" si="21"/>
        <v>531.57614999999998</v>
      </c>
      <c r="AP12" s="48" t="s">
        <v>150</v>
      </c>
      <c r="AT12" s="65"/>
      <c r="AU12" s="53"/>
    </row>
    <row r="13" spans="1:47" s="107" customFormat="1" ht="15" x14ac:dyDescent="0.2">
      <c r="B13" s="108"/>
      <c r="C13" s="109">
        <v>444.96</v>
      </c>
      <c r="D13" s="109">
        <f t="shared" si="1"/>
        <v>383.73</v>
      </c>
      <c r="E13" s="110">
        <f t="shared" si="2"/>
        <v>61.229999999999961</v>
      </c>
      <c r="F13" s="110">
        <v>0.45</v>
      </c>
      <c r="G13" s="110">
        <f t="shared" si="38"/>
        <v>1.37</v>
      </c>
      <c r="H13" s="110">
        <v>0.9</v>
      </c>
      <c r="I13" s="110">
        <f t="shared" si="22"/>
        <v>1.2330000000000001</v>
      </c>
      <c r="J13" s="110">
        <f t="shared" si="39"/>
        <v>2.6370000000000005</v>
      </c>
      <c r="K13" s="112">
        <v>100</v>
      </c>
      <c r="L13" s="112">
        <v>10</v>
      </c>
      <c r="M13" s="112">
        <v>0</v>
      </c>
      <c r="N13" s="112">
        <f t="shared" si="23"/>
        <v>10</v>
      </c>
      <c r="O13" s="110">
        <v>9.8000000000000007</v>
      </c>
      <c r="P13" s="110">
        <f t="shared" si="24"/>
        <v>12.083400000000001</v>
      </c>
      <c r="Q13" s="112">
        <v>0</v>
      </c>
      <c r="R13" s="110">
        <f t="shared" si="25"/>
        <v>12.083400000000001</v>
      </c>
      <c r="S13" s="112">
        <v>1</v>
      </c>
      <c r="T13" s="113" t="s">
        <v>55</v>
      </c>
      <c r="U13" s="112">
        <v>24</v>
      </c>
      <c r="V13" s="114">
        <f t="shared" si="26"/>
        <v>5.0000000000000417E-3</v>
      </c>
      <c r="W13" s="115">
        <f t="shared" si="27"/>
        <v>0.5</v>
      </c>
      <c r="X13" s="115">
        <f t="shared" si="28"/>
        <v>3.1415899999999999</v>
      </c>
      <c r="Y13" s="109">
        <f t="shared" si="29"/>
        <v>12.083400000000001</v>
      </c>
      <c r="Z13" s="114">
        <f t="shared" si="10"/>
        <v>2.8543248260088907E-3</v>
      </c>
      <c r="AA13" s="110">
        <f t="shared" si="30"/>
        <v>0.17477030909652427</v>
      </c>
      <c r="AB13" s="110">
        <f t="shared" si="31"/>
        <v>534.30677768113526</v>
      </c>
      <c r="AC13" s="110">
        <f t="shared" si="13"/>
        <v>534.13200737203874</v>
      </c>
      <c r="AD13" s="110">
        <f t="shared" si="32"/>
        <v>534.37281804749</v>
      </c>
      <c r="AE13" s="110">
        <f t="shared" si="33"/>
        <v>4.592677491244828</v>
      </c>
      <c r="AF13" s="110">
        <f t="shared" si="14"/>
        <v>3.8469914040114617</v>
      </c>
      <c r="AG13" s="110">
        <f t="shared" si="34"/>
        <v>0.32752618848737403</v>
      </c>
      <c r="AH13" s="110">
        <f t="shared" si="35"/>
        <v>0.22980346059841733</v>
      </c>
      <c r="AI13" s="110">
        <v>0.5</v>
      </c>
      <c r="AJ13" s="110">
        <f t="shared" si="36"/>
        <v>0.16376309424368701</v>
      </c>
      <c r="AK13" s="110">
        <f t="shared" si="18"/>
        <v>6.6040366354730318E-2</v>
      </c>
      <c r="AL13" s="110">
        <v>536.6</v>
      </c>
      <c r="AM13" s="109">
        <f t="shared" si="37"/>
        <v>2.2271819525100227</v>
      </c>
      <c r="AN13" s="109">
        <f t="shared" si="20"/>
        <v>531.57614999999998</v>
      </c>
      <c r="AO13" s="109">
        <v>531.27</v>
      </c>
      <c r="AP13" s="116" t="s">
        <v>153</v>
      </c>
      <c r="AT13" s="117"/>
      <c r="AU13" s="109"/>
    </row>
    <row r="14" spans="1:47" s="107" customFormat="1" ht="15" x14ac:dyDescent="0.2">
      <c r="B14" s="108"/>
      <c r="C14" s="109">
        <v>383.73</v>
      </c>
      <c r="D14" s="109">
        <f t="shared" si="1"/>
        <v>218.74</v>
      </c>
      <c r="E14" s="110">
        <f t="shared" ref="E14" si="40">C14-D14</f>
        <v>164.99</v>
      </c>
      <c r="F14" s="110">
        <v>1.34</v>
      </c>
      <c r="G14" s="110">
        <f t="shared" si="38"/>
        <v>2.71</v>
      </c>
      <c r="H14" s="110">
        <v>0.9</v>
      </c>
      <c r="I14" s="110">
        <f t="shared" ref="I14" si="41">H14*G14</f>
        <v>2.4390000000000001</v>
      </c>
      <c r="J14" s="110">
        <f t="shared" ref="J14" si="42">J13+I14</f>
        <v>5.0760000000000005</v>
      </c>
      <c r="K14" s="112">
        <v>100</v>
      </c>
      <c r="L14" s="112">
        <v>10</v>
      </c>
      <c r="M14" s="112">
        <v>0</v>
      </c>
      <c r="N14" s="112">
        <f t="shared" ref="N14" si="43">L14+M14</f>
        <v>10</v>
      </c>
      <c r="O14" s="110">
        <v>9.8000000000000007</v>
      </c>
      <c r="P14" s="110">
        <f t="shared" si="24"/>
        <v>23.902200000000001</v>
      </c>
      <c r="Q14" s="112">
        <v>0</v>
      </c>
      <c r="R14" s="110">
        <f t="shared" ref="R14" si="44">P14</f>
        <v>23.902200000000001</v>
      </c>
      <c r="S14" s="112">
        <v>1</v>
      </c>
      <c r="T14" s="113" t="s">
        <v>55</v>
      </c>
      <c r="U14" s="112">
        <v>27</v>
      </c>
      <c r="V14" s="114">
        <f t="shared" ref="V14" si="45">(AN14-AO14)/(E14)</f>
        <v>4.9999999999996627E-3</v>
      </c>
      <c r="W14" s="115">
        <f t="shared" ref="W14" si="46">((((U14/12)/2)^2)*3.14159)/((U14/12)*3.14159)</f>
        <v>0.5625</v>
      </c>
      <c r="X14" s="115">
        <f t="shared" ref="X14" si="47">3.14159*((U14/12)/2)^2</f>
        <v>3.9760748437499998</v>
      </c>
      <c r="Y14" s="109">
        <f t="shared" ref="Y14" si="48">R14</f>
        <v>23.902200000000001</v>
      </c>
      <c r="Z14" s="114">
        <f t="shared" si="10"/>
        <v>5.9591921513393424E-3</v>
      </c>
      <c r="AA14" s="110">
        <f t="shared" ref="AA14" si="49">Z14*E14</f>
        <v>0.98320711304947817</v>
      </c>
      <c r="AB14" s="110">
        <f t="shared" ref="AB14" si="50">AC14+AA14</f>
        <v>533.80044765476362</v>
      </c>
      <c r="AC14" s="110">
        <f t="shared" si="13"/>
        <v>532.81724054171411</v>
      </c>
      <c r="AD14" s="110">
        <f t="shared" ref="AD14" si="51">IF(AK14&gt;0,AB14+AK14,AB14)</f>
        <v>534.13200737203874</v>
      </c>
      <c r="AE14" s="110">
        <f t="shared" si="33"/>
        <v>3.8469914040114617</v>
      </c>
      <c r="AF14" s="110">
        <f t="shared" si="14"/>
        <v>6.0126357494074787</v>
      </c>
      <c r="AG14" s="110">
        <f t="shared" ref="AG14" si="52">(AE14^2)/64.4</f>
        <v>0.22980346059841733</v>
      </c>
      <c r="AH14" s="110">
        <f t="shared" ref="AH14" si="53">(AF14^2)/64.4</f>
        <v>0.5613631778734911</v>
      </c>
      <c r="AI14" s="110">
        <v>1</v>
      </c>
      <c r="AJ14" s="110">
        <f t="shared" ref="AJ14" si="54">AI14*AG14</f>
        <v>0.22980346059841733</v>
      </c>
      <c r="AK14" s="110">
        <f t="shared" si="18"/>
        <v>0.33155971727507377</v>
      </c>
      <c r="AL14" s="110">
        <v>536.20000000000005</v>
      </c>
      <c r="AM14" s="109">
        <f t="shared" ref="AM14" si="55">AL14-AD14</f>
        <v>2.0679926279613028</v>
      </c>
      <c r="AN14" s="109">
        <f t="shared" si="20"/>
        <v>530.9949499999999</v>
      </c>
      <c r="AO14" s="109">
        <v>530.16999999999996</v>
      </c>
      <c r="AP14" s="116" t="s">
        <v>149</v>
      </c>
      <c r="AT14" s="117"/>
      <c r="AU14" s="109"/>
    </row>
    <row r="15" spans="1:47" s="107" customFormat="1" ht="15" x14ac:dyDescent="0.2">
      <c r="B15" s="108"/>
      <c r="C15" s="109">
        <v>218.74</v>
      </c>
      <c r="D15" s="109">
        <f t="shared" si="1"/>
        <v>153.34</v>
      </c>
      <c r="E15" s="110">
        <f t="shared" si="2"/>
        <v>65.400000000000006</v>
      </c>
      <c r="F15" s="110">
        <v>0.88</v>
      </c>
      <c r="G15" s="110">
        <f t="shared" si="38"/>
        <v>3.59</v>
      </c>
      <c r="H15" s="110">
        <v>0.9</v>
      </c>
      <c r="I15" s="110">
        <f t="shared" si="22"/>
        <v>3.2309999999999999</v>
      </c>
      <c r="J15" s="110">
        <f>J13+I15</f>
        <v>5.8680000000000003</v>
      </c>
      <c r="K15" s="112">
        <v>100</v>
      </c>
      <c r="L15" s="112">
        <v>10</v>
      </c>
      <c r="M15" s="112">
        <v>0</v>
      </c>
      <c r="N15" s="112">
        <f t="shared" si="23"/>
        <v>10</v>
      </c>
      <c r="O15" s="110">
        <v>9.8000000000000007</v>
      </c>
      <c r="P15" s="110">
        <f t="shared" si="24"/>
        <v>31.663800000000002</v>
      </c>
      <c r="Q15" s="112">
        <v>0</v>
      </c>
      <c r="R15" s="110">
        <f t="shared" si="25"/>
        <v>31.663800000000002</v>
      </c>
      <c r="S15" s="112">
        <v>1</v>
      </c>
      <c r="T15" s="113" t="s">
        <v>55</v>
      </c>
      <c r="U15" s="112">
        <v>36</v>
      </c>
      <c r="V15" s="114">
        <f t="shared" si="26"/>
        <v>4.9999999999999715E-3</v>
      </c>
      <c r="W15" s="115">
        <f t="shared" si="27"/>
        <v>0.75000000000000011</v>
      </c>
      <c r="X15" s="115">
        <f t="shared" si="28"/>
        <v>7.0685775</v>
      </c>
      <c r="Y15" s="109">
        <f t="shared" si="29"/>
        <v>31.663800000000002</v>
      </c>
      <c r="Z15" s="114">
        <f t="shared" si="10"/>
        <v>2.2547467837296686E-3</v>
      </c>
      <c r="AA15" s="110">
        <f t="shared" si="30"/>
        <v>0.14746043965592034</v>
      </c>
      <c r="AB15" s="110">
        <f t="shared" si="31"/>
        <v>532.81724054171411</v>
      </c>
      <c r="AC15" s="110">
        <f>AD16</f>
        <v>532.66978010205821</v>
      </c>
      <c r="AD15" s="110">
        <f t="shared" si="32"/>
        <v>532.81724054171411</v>
      </c>
      <c r="AE15" s="110">
        <f t="shared" si="33"/>
        <v>6.0126357494074787</v>
      </c>
      <c r="AF15" s="110">
        <f t="shared" si="14"/>
        <v>4.4803565743393827</v>
      </c>
      <c r="AG15" s="110">
        <f t="shared" si="34"/>
        <v>0.5613631778734911</v>
      </c>
      <c r="AH15" s="110">
        <f t="shared" si="35"/>
        <v>0.31170178623021938</v>
      </c>
      <c r="AI15" s="110">
        <v>1</v>
      </c>
      <c r="AJ15" s="110">
        <f t="shared" si="36"/>
        <v>0.5613631778734911</v>
      </c>
      <c r="AK15" s="110">
        <f t="shared" si="18"/>
        <v>0</v>
      </c>
      <c r="AL15" s="110">
        <v>534.6</v>
      </c>
      <c r="AM15" s="109">
        <f t="shared" si="37"/>
        <v>1.7827594582859092</v>
      </c>
      <c r="AN15" s="109">
        <f t="shared" si="20"/>
        <v>529.39369999999997</v>
      </c>
      <c r="AO15" s="109">
        <f t="shared" si="21"/>
        <v>529.06669999999997</v>
      </c>
      <c r="AP15" s="116" t="s">
        <v>149</v>
      </c>
      <c r="AT15" s="117"/>
      <c r="AU15" s="109"/>
    </row>
    <row r="16" spans="1:47" ht="15" x14ac:dyDescent="0.2">
      <c r="B16" s="52"/>
      <c r="C16" s="53">
        <v>153.34</v>
      </c>
      <c r="D16" s="53">
        <f t="shared" si="1"/>
        <v>44.87</v>
      </c>
      <c r="E16" s="39">
        <f t="shared" ref="E16" si="56">C16-D16</f>
        <v>108.47</v>
      </c>
      <c r="F16" s="39">
        <v>0.23</v>
      </c>
      <c r="G16" s="39">
        <f t="shared" si="38"/>
        <v>3.82</v>
      </c>
      <c r="H16" s="39">
        <v>0.9</v>
      </c>
      <c r="I16" s="39">
        <f t="shared" ref="I16" si="57">H16*G16</f>
        <v>3.4379999999999997</v>
      </c>
      <c r="J16" s="39">
        <f t="shared" ref="J16" si="58">J15+I16</f>
        <v>9.3060000000000009</v>
      </c>
      <c r="K16" s="54">
        <v>100</v>
      </c>
      <c r="L16" s="54">
        <v>10</v>
      </c>
      <c r="M16" s="54">
        <v>0</v>
      </c>
      <c r="N16" s="54">
        <f t="shared" ref="N16" si="59">L16+M16</f>
        <v>10</v>
      </c>
      <c r="O16" s="39">
        <v>9.8000000000000007</v>
      </c>
      <c r="P16" s="39">
        <f t="shared" si="24"/>
        <v>33.692399999999999</v>
      </c>
      <c r="Q16" s="54">
        <v>0</v>
      </c>
      <c r="R16" s="39">
        <f t="shared" ref="R16" si="60">P16</f>
        <v>33.692399999999999</v>
      </c>
      <c r="S16" s="54">
        <v>1</v>
      </c>
      <c r="T16" s="55" t="s">
        <v>55</v>
      </c>
      <c r="U16" s="112">
        <v>36</v>
      </c>
      <c r="V16" s="56">
        <f t="shared" ref="V16" si="61">(AN16-AO16)/(E16)</f>
        <v>5.0000000000005144E-3</v>
      </c>
      <c r="W16" s="51">
        <f t="shared" ref="W16" si="62">((((U16/12)/2)^2)*3.14159)/((U16/12)*3.14159)</f>
        <v>0.75000000000000011</v>
      </c>
      <c r="X16" s="51">
        <f t="shared" ref="X16" si="63">3.14159*((U16/12)/2)^2</f>
        <v>7.0685775</v>
      </c>
      <c r="Y16" s="53">
        <f t="shared" ref="Y16" si="64">R16</f>
        <v>33.692399999999999</v>
      </c>
      <c r="Z16" s="56">
        <f t="shared" si="10"/>
        <v>2.5529105893728958E-3</v>
      </c>
      <c r="AA16" s="39">
        <f t="shared" ref="AA16" si="65">Z16*E16</f>
        <v>0.27691421162927798</v>
      </c>
      <c r="AB16" s="39">
        <f t="shared" ref="AB16" si="66">AC16+AA16</f>
        <v>532.6285611982421</v>
      </c>
      <c r="AC16" s="39">
        <f>AD17</f>
        <v>532.35164698661276</v>
      </c>
      <c r="AD16" s="110">
        <f t="shared" ref="AD16" si="67">IF(AK16&gt;0,AB16+AK16,AB16)</f>
        <v>532.66978010205821</v>
      </c>
      <c r="AE16" s="39">
        <f t="shared" si="33"/>
        <v>4.4803565743393827</v>
      </c>
      <c r="AF16" s="39">
        <f t="shared" si="14"/>
        <v>4.7673989175421845</v>
      </c>
      <c r="AG16" s="39">
        <f t="shared" ref="AG16" si="68">(AE16^2)/64.4</f>
        <v>0.31170178623021938</v>
      </c>
      <c r="AH16" s="39">
        <f t="shared" ref="AH16" si="69">(AF16^2)/64.4</f>
        <v>0.35292069004631044</v>
      </c>
      <c r="AI16" s="39">
        <v>1</v>
      </c>
      <c r="AJ16" s="39">
        <f t="shared" ref="AJ16" si="70">AI16*AG16</f>
        <v>0.31170178623021938</v>
      </c>
      <c r="AK16" s="39">
        <f t="shared" si="18"/>
        <v>4.1218903816091057E-2</v>
      </c>
      <c r="AL16" s="39">
        <v>534</v>
      </c>
      <c r="AM16" s="109">
        <f t="shared" ref="AM16" si="71">AL16-AD16</f>
        <v>1.3302198979417881</v>
      </c>
      <c r="AN16" s="109">
        <f t="shared" si="20"/>
        <v>529.06669999999997</v>
      </c>
      <c r="AO16" s="109">
        <f t="shared" si="21"/>
        <v>528.52434999999991</v>
      </c>
      <c r="AP16" s="48" t="s">
        <v>149</v>
      </c>
      <c r="AT16" s="65"/>
      <c r="AU16" s="53"/>
    </row>
    <row r="17" spans="2:47" ht="15" x14ac:dyDescent="0.2">
      <c r="B17" s="52"/>
      <c r="C17" s="53">
        <v>44.87</v>
      </c>
      <c r="D17" s="53">
        <f>C18</f>
        <v>19.7</v>
      </c>
      <c r="E17" s="39">
        <f t="shared" si="2"/>
        <v>25.169999999999998</v>
      </c>
      <c r="F17" s="39">
        <v>0</v>
      </c>
      <c r="G17" s="39">
        <f t="shared" si="38"/>
        <v>3.82</v>
      </c>
      <c r="H17" s="39">
        <v>0.9</v>
      </c>
      <c r="I17" s="39">
        <f t="shared" si="22"/>
        <v>3.4379999999999997</v>
      </c>
      <c r="J17" s="39">
        <f>J15+I17</f>
        <v>9.3060000000000009</v>
      </c>
      <c r="K17" s="54">
        <v>100</v>
      </c>
      <c r="L17" s="54">
        <v>10</v>
      </c>
      <c r="M17" s="54">
        <v>0</v>
      </c>
      <c r="N17" s="54">
        <f t="shared" si="23"/>
        <v>10</v>
      </c>
      <c r="O17" s="39">
        <v>9.8000000000000007</v>
      </c>
      <c r="P17" s="39">
        <f t="shared" si="24"/>
        <v>33.692399999999999</v>
      </c>
      <c r="Q17" s="54">
        <v>0</v>
      </c>
      <c r="R17" s="39">
        <f t="shared" si="25"/>
        <v>33.692399999999999</v>
      </c>
      <c r="S17" s="54">
        <v>1</v>
      </c>
      <c r="T17" s="55" t="s">
        <v>55</v>
      </c>
      <c r="U17" s="112">
        <v>36</v>
      </c>
      <c r="V17" s="56">
        <f t="shared" si="26"/>
        <v>5.000000000000557E-3</v>
      </c>
      <c r="W17" s="51">
        <f t="shared" si="27"/>
        <v>0.75000000000000011</v>
      </c>
      <c r="X17" s="51">
        <f t="shared" si="28"/>
        <v>7.0685775</v>
      </c>
      <c r="Y17" s="53">
        <f t="shared" si="29"/>
        <v>33.692399999999999</v>
      </c>
      <c r="Z17" s="56">
        <f t="shared" si="10"/>
        <v>2.5529105893728958E-3</v>
      </c>
      <c r="AA17" s="39">
        <f t="shared" si="30"/>
        <v>6.4256759534515775E-2</v>
      </c>
      <c r="AB17" s="39">
        <f>AC17+AA17</f>
        <v>532.17518664158956</v>
      </c>
      <c r="AC17" s="39">
        <f>AD18</f>
        <v>532.11092988205507</v>
      </c>
      <c r="AD17" s="110">
        <f t="shared" si="32"/>
        <v>532.35164698661276</v>
      </c>
      <c r="AE17" s="39">
        <f t="shared" ref="AE17" si="72">AF16</f>
        <v>4.7673989175421845</v>
      </c>
      <c r="AF17" s="39">
        <f t="shared" ref="AF17:AF18" si="73">R17/(((U17/12)/2)^2*3.141)</f>
        <v>4.7673989175421845</v>
      </c>
      <c r="AG17" s="39">
        <f t="shared" si="34"/>
        <v>0.35292069004631044</v>
      </c>
      <c r="AH17" s="39">
        <f t="shared" si="35"/>
        <v>0.35292069004631044</v>
      </c>
      <c r="AI17" s="39">
        <v>0.5</v>
      </c>
      <c r="AJ17" s="39">
        <f t="shared" si="36"/>
        <v>0.17646034502315522</v>
      </c>
      <c r="AK17" s="39">
        <f t="shared" si="18"/>
        <v>0.17646034502315522</v>
      </c>
      <c r="AL17" s="39">
        <v>533.5</v>
      </c>
      <c r="AM17" s="109">
        <f t="shared" si="37"/>
        <v>1.1483530133872364</v>
      </c>
      <c r="AN17" s="109">
        <f t="shared" si="20"/>
        <v>528.52434999999991</v>
      </c>
      <c r="AO17" s="109">
        <f>AN18</f>
        <v>528.3984999999999</v>
      </c>
      <c r="AP17" s="48" t="s">
        <v>148</v>
      </c>
      <c r="AT17" s="65"/>
      <c r="AU17" s="53"/>
    </row>
    <row r="18" spans="2:47" ht="15.75" thickBot="1" x14ac:dyDescent="0.25">
      <c r="B18" s="127"/>
      <c r="C18" s="128">
        <v>19.7</v>
      </c>
      <c r="D18" s="128">
        <v>0</v>
      </c>
      <c r="E18" s="129">
        <f>C18-D18</f>
        <v>19.7</v>
      </c>
      <c r="F18" s="129">
        <v>2.67</v>
      </c>
      <c r="G18" s="129">
        <f>G17+F18</f>
        <v>6.49</v>
      </c>
      <c r="H18" s="145">
        <v>0.9</v>
      </c>
      <c r="I18" s="129">
        <f t="shared" si="22"/>
        <v>5.8410000000000002</v>
      </c>
      <c r="J18" s="129">
        <f t="shared" si="39"/>
        <v>15.147000000000002</v>
      </c>
      <c r="K18" s="130">
        <v>100</v>
      </c>
      <c r="L18" s="130">
        <v>10</v>
      </c>
      <c r="M18" s="130">
        <v>0</v>
      </c>
      <c r="N18" s="130">
        <f t="shared" si="23"/>
        <v>10</v>
      </c>
      <c r="O18" s="145">
        <v>9.8000000000000007</v>
      </c>
      <c r="P18" s="145">
        <f t="shared" si="24"/>
        <v>57.241800000000005</v>
      </c>
      <c r="Q18" s="130">
        <v>0</v>
      </c>
      <c r="R18" s="129">
        <f t="shared" si="25"/>
        <v>57.241800000000005</v>
      </c>
      <c r="S18" s="130">
        <v>1</v>
      </c>
      <c r="T18" s="131" t="s">
        <v>55</v>
      </c>
      <c r="U18" s="132">
        <v>36</v>
      </c>
      <c r="V18" s="133">
        <f t="shared" si="26"/>
        <v>4.9999999999971838E-3</v>
      </c>
      <c r="W18" s="134">
        <f t="shared" si="27"/>
        <v>0.75000000000000011</v>
      </c>
      <c r="X18" s="134">
        <f t="shared" si="28"/>
        <v>7.0685775</v>
      </c>
      <c r="Y18" s="128">
        <f t="shared" si="29"/>
        <v>57.241800000000005</v>
      </c>
      <c r="Z18" s="133">
        <f>(AF18^2*0.013^2)/(2.208*W18^(4/3))</f>
        <v>7.3688255061158765E-3</v>
      </c>
      <c r="AA18" s="129">
        <f t="shared" si="30"/>
        <v>0.14516586247048277</v>
      </c>
      <c r="AB18" s="129">
        <f>AC18+AA18</f>
        <v>531.44516586247039</v>
      </c>
      <c r="AC18" s="129">
        <v>531.29999999999995</v>
      </c>
      <c r="AD18" s="146">
        <f t="shared" si="32"/>
        <v>532.11092988205507</v>
      </c>
      <c r="AE18" s="129">
        <f>AF17</f>
        <v>4.7673989175421845</v>
      </c>
      <c r="AF18" s="129">
        <f t="shared" si="73"/>
        <v>8.0995861190703611</v>
      </c>
      <c r="AG18" s="129">
        <f>(AE18^2)/64.4</f>
        <v>0.35292069004631044</v>
      </c>
      <c r="AH18" s="129">
        <f>(AF18^2)/64.4</f>
        <v>1.0186847096310137</v>
      </c>
      <c r="AI18" s="145">
        <v>1</v>
      </c>
      <c r="AJ18" s="129">
        <f>AI18*AG18</f>
        <v>0.35292069004631044</v>
      </c>
      <c r="AK18" s="129">
        <f>IF( (AH18-AJ18) &lt; 0,0,(AH18-AJ18))</f>
        <v>0.66576401958470321</v>
      </c>
      <c r="AL18" s="129">
        <v>534</v>
      </c>
      <c r="AM18" s="135">
        <f>AL18-AD18</f>
        <v>1.8890701179449252</v>
      </c>
      <c r="AN18" s="135">
        <f>(E18*0.005)+AO18</f>
        <v>528.3984999999999</v>
      </c>
      <c r="AO18" s="135">
        <v>528.29999999999995</v>
      </c>
      <c r="AP18" s="126" t="s">
        <v>149</v>
      </c>
      <c r="AT18" s="65"/>
      <c r="AU18" s="53"/>
    </row>
    <row r="19" spans="2:47" ht="18.75" thickBot="1" x14ac:dyDescent="0.3">
      <c r="B19" s="57" t="s">
        <v>155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124"/>
      <c r="V19" s="38"/>
      <c r="W19" s="38"/>
      <c r="X19" s="38"/>
      <c r="Y19" s="38"/>
      <c r="Z19" s="38"/>
      <c r="AA19" s="38"/>
      <c r="AB19" s="38"/>
      <c r="AC19" s="38"/>
      <c r="AD19" s="124"/>
      <c r="AE19" s="38"/>
      <c r="AF19" s="38"/>
      <c r="AG19" s="38"/>
      <c r="AH19" s="38"/>
      <c r="AI19" s="38"/>
      <c r="AJ19" s="38"/>
      <c r="AK19" s="38"/>
      <c r="AL19" s="38"/>
      <c r="AM19" s="124"/>
      <c r="AN19" s="124"/>
      <c r="AO19" s="124"/>
      <c r="AP19" s="64"/>
      <c r="AT19" s="65"/>
      <c r="AU19" s="53"/>
    </row>
    <row r="20" spans="2:47" ht="15.75" thickBot="1" x14ac:dyDescent="0.25">
      <c r="B20" s="137"/>
      <c r="C20" s="50"/>
      <c r="D20" s="50">
        <f>C21</f>
        <v>291.92</v>
      </c>
      <c r="E20" s="41" t="s">
        <v>55</v>
      </c>
      <c r="F20" s="41">
        <v>0.6</v>
      </c>
      <c r="G20" s="41">
        <f>F20</f>
        <v>0.6</v>
      </c>
      <c r="H20" s="41">
        <v>0.9</v>
      </c>
      <c r="I20" s="41">
        <f t="shared" ref="I20:I21" si="74">H20*G20</f>
        <v>0.54</v>
      </c>
      <c r="J20" s="41">
        <f>I20</f>
        <v>0.54</v>
      </c>
      <c r="K20" s="138">
        <v>100</v>
      </c>
      <c r="L20" s="138">
        <v>10</v>
      </c>
      <c r="M20" s="138">
        <v>0</v>
      </c>
      <c r="N20" s="138">
        <f t="shared" ref="N20:N21" si="75">L20+M20</f>
        <v>10</v>
      </c>
      <c r="O20" s="41">
        <v>9.8000000000000007</v>
      </c>
      <c r="P20" s="41">
        <f t="shared" si="24"/>
        <v>5.2920000000000007</v>
      </c>
      <c r="Q20" s="138">
        <v>0</v>
      </c>
      <c r="R20" s="41">
        <f t="shared" ref="R20" si="76">P20</f>
        <v>5.2920000000000007</v>
      </c>
      <c r="S20" s="138">
        <v>1</v>
      </c>
      <c r="T20" s="139" t="s">
        <v>55</v>
      </c>
      <c r="U20" s="140">
        <v>18</v>
      </c>
      <c r="V20" s="141" t="s">
        <v>55</v>
      </c>
      <c r="W20" s="142">
        <f t="shared" ref="W20:W21" si="77">((((U20/12)/2)^2)*3.14159)/((U20/12)*3.14159)</f>
        <v>0.37500000000000006</v>
      </c>
      <c r="X20" s="142">
        <f t="shared" ref="X20:X21" si="78">3.14159*((U20/12)/2)^2</f>
        <v>1.767144375</v>
      </c>
      <c r="Y20" s="50">
        <f t="shared" ref="Y20:Y21" si="79">R20</f>
        <v>5.2920000000000007</v>
      </c>
      <c r="Z20" s="141">
        <f t="shared" ref="Z20:Z21" si="80">(AF20^2*0.013^2)/(2.208*W20^(4/3))</f>
        <v>2.5392454908980738E-3</v>
      </c>
      <c r="AA20" s="41" t="s">
        <v>55</v>
      </c>
      <c r="AB20" s="41">
        <f>AD22+AK20</f>
        <v>534.51644877143133</v>
      </c>
      <c r="AC20" s="41">
        <f>AD22</f>
        <v>534.30748830146069</v>
      </c>
      <c r="AD20" s="118">
        <f>AC20</f>
        <v>534.30748830146069</v>
      </c>
      <c r="AE20" s="41" t="s">
        <v>55</v>
      </c>
      <c r="AF20" s="41">
        <f t="shared" ref="AF20:AF21" si="81">R20/(((U20/12)/2)^2*3.141)</f>
        <v>2.9952244508118437</v>
      </c>
      <c r="AG20" s="41" t="s">
        <v>55</v>
      </c>
      <c r="AH20" s="41">
        <f t="shared" ref="AH20:AH21" si="82">(AF20^2)/64.4</f>
        <v>0.13930697998045202</v>
      </c>
      <c r="AI20" s="41">
        <v>1.5</v>
      </c>
      <c r="AJ20" s="41" t="s">
        <v>55</v>
      </c>
      <c r="AK20" s="41">
        <f>AH20*AI20</f>
        <v>0.20896046997067802</v>
      </c>
      <c r="AL20" s="41">
        <v>535.57000000000005</v>
      </c>
      <c r="AM20" s="143">
        <f>AL20-AB20</f>
        <v>1.0535512285687219</v>
      </c>
      <c r="AN20" s="135">
        <f>AN21</f>
        <v>531.6096</v>
      </c>
      <c r="AO20" s="109">
        <f t="shared" ref="AO20:AO23" si="83">AN21</f>
        <v>531.6096</v>
      </c>
      <c r="AP20" s="144" t="s">
        <v>154</v>
      </c>
      <c r="AT20" s="65"/>
      <c r="AU20" s="66"/>
    </row>
    <row r="21" spans="2:47" ht="15.75" thickBot="1" x14ac:dyDescent="0.25">
      <c r="B21" s="52"/>
      <c r="C21" s="53">
        <v>291.92</v>
      </c>
      <c r="D21" s="53">
        <f t="shared" ref="D21" si="84">C22</f>
        <v>271.79000000000002</v>
      </c>
      <c r="E21" s="39">
        <f t="shared" ref="E21" si="85">C21-D21</f>
        <v>20.129999999999995</v>
      </c>
      <c r="F21" s="39">
        <v>0.6</v>
      </c>
      <c r="G21" s="39">
        <f>F21</f>
        <v>0.6</v>
      </c>
      <c r="H21" s="39">
        <v>0.9</v>
      </c>
      <c r="I21" s="39">
        <f t="shared" si="74"/>
        <v>0.54</v>
      </c>
      <c r="J21" s="39">
        <f>I21</f>
        <v>0.54</v>
      </c>
      <c r="K21" s="54">
        <v>100</v>
      </c>
      <c r="L21" s="54">
        <v>10</v>
      </c>
      <c r="M21" s="54">
        <v>0</v>
      </c>
      <c r="N21" s="54">
        <f t="shared" si="75"/>
        <v>10</v>
      </c>
      <c r="O21" s="39">
        <v>9.8000000000000007</v>
      </c>
      <c r="P21" s="39">
        <v>0</v>
      </c>
      <c r="Q21" s="54">
        <v>0</v>
      </c>
      <c r="R21" s="39">
        <f>R20</f>
        <v>5.2920000000000007</v>
      </c>
      <c r="S21" s="54">
        <v>1</v>
      </c>
      <c r="T21" s="55" t="s">
        <v>55</v>
      </c>
      <c r="U21" s="112">
        <v>18</v>
      </c>
      <c r="V21" s="56">
        <f t="shared" ref="V21" si="86">(AN21-AO21)/(E21)</f>
        <v>4.999999999998673E-3</v>
      </c>
      <c r="W21" s="51">
        <f t="shared" si="77"/>
        <v>0.37500000000000006</v>
      </c>
      <c r="X21" s="51">
        <f t="shared" si="78"/>
        <v>1.767144375</v>
      </c>
      <c r="Y21" s="53">
        <f t="shared" si="79"/>
        <v>5.2920000000000007</v>
      </c>
      <c r="Z21" s="56">
        <f t="shared" si="80"/>
        <v>2.5392454908980738E-3</v>
      </c>
      <c r="AA21" s="39">
        <f t="shared" ref="AA21" si="87">Z21*E21</f>
        <v>5.1115011731778216E-2</v>
      </c>
      <c r="AB21" s="39">
        <f t="shared" ref="AB21" si="88">AC21+AA21</f>
        <v>534.35860331319248</v>
      </c>
      <c r="AC21" s="39">
        <f>AD22</f>
        <v>534.30748830146069</v>
      </c>
      <c r="AD21" s="110">
        <f>AB21</f>
        <v>534.35860331319248</v>
      </c>
      <c r="AE21" s="39">
        <f>AF21</f>
        <v>2.9952244508118437</v>
      </c>
      <c r="AF21" s="39">
        <f t="shared" si="81"/>
        <v>2.9952244508118437</v>
      </c>
      <c r="AG21" s="39">
        <f t="shared" ref="AG21" si="89">(AE21^2)/64.4</f>
        <v>0.13930697998045202</v>
      </c>
      <c r="AH21" s="39">
        <f t="shared" si="82"/>
        <v>0.13930697998045202</v>
      </c>
      <c r="AI21" s="39">
        <v>1</v>
      </c>
      <c r="AJ21" s="39">
        <f t="shared" ref="AJ21" si="90">AI21*AG21</f>
        <v>0.13930697998045202</v>
      </c>
      <c r="AK21" s="39">
        <f t="shared" ref="AK21" si="91">IF( (AH21-AJ21) &lt; 0,0,(AH21-AJ21))</f>
        <v>0</v>
      </c>
      <c r="AL21" s="39">
        <v>535.57000000000005</v>
      </c>
      <c r="AM21" s="109">
        <f>AL21-AD21</f>
        <v>1.211396686807575</v>
      </c>
      <c r="AN21" s="135">
        <f t="shared" ref="AN21:AN24" si="92">AO21+((C21-D21)*0.005)</f>
        <v>531.6096</v>
      </c>
      <c r="AO21" s="109">
        <f t="shared" si="83"/>
        <v>531.50895000000003</v>
      </c>
      <c r="AP21" s="48" t="s">
        <v>163</v>
      </c>
      <c r="AT21" s="65"/>
      <c r="AU21" s="66"/>
    </row>
    <row r="22" spans="2:47" ht="15.75" thickBot="1" x14ac:dyDescent="0.25">
      <c r="B22" s="52"/>
      <c r="C22" s="53">
        <v>271.79000000000002</v>
      </c>
      <c r="D22" s="53">
        <f t="shared" ref="D22:D23" si="93">C23</f>
        <v>213.22</v>
      </c>
      <c r="E22" s="39">
        <f t="shared" ref="E22:E24" si="94">C22-D22</f>
        <v>58.570000000000022</v>
      </c>
      <c r="F22" s="39">
        <v>0</v>
      </c>
      <c r="G22" s="39">
        <f>F22</f>
        <v>0</v>
      </c>
      <c r="H22" s="39">
        <v>0.9</v>
      </c>
      <c r="I22" s="39">
        <f t="shared" ref="I22:I25" si="95">H22*G22</f>
        <v>0</v>
      </c>
      <c r="J22" s="39">
        <f>I22</f>
        <v>0</v>
      </c>
      <c r="K22" s="54">
        <v>100</v>
      </c>
      <c r="L22" s="54">
        <v>10</v>
      </c>
      <c r="M22" s="54">
        <v>0</v>
      </c>
      <c r="N22" s="54">
        <f t="shared" ref="N22:N25" si="96">L22+M22</f>
        <v>10</v>
      </c>
      <c r="O22" s="39">
        <v>9.8000000000000007</v>
      </c>
      <c r="P22" s="39">
        <f>P21</f>
        <v>0</v>
      </c>
      <c r="Q22" s="54">
        <v>0</v>
      </c>
      <c r="R22" s="39">
        <f t="shared" ref="R22:R23" si="97">R21</f>
        <v>5.2920000000000007</v>
      </c>
      <c r="S22" s="54">
        <v>1</v>
      </c>
      <c r="T22" s="55" t="s">
        <v>55</v>
      </c>
      <c r="U22" s="112">
        <v>18</v>
      </c>
      <c r="V22" s="56">
        <f t="shared" ref="V22:V25" si="98">(AN22-AO22)/(E22)</f>
        <v>5.0000000000007495E-3</v>
      </c>
      <c r="W22" s="51">
        <f t="shared" ref="W22:W25" si="99">((((U22/12)/2)^2)*3.14159)/((U22/12)*3.14159)</f>
        <v>0.37500000000000006</v>
      </c>
      <c r="X22" s="51">
        <f t="shared" ref="X22:X25" si="100">3.14159*((U22/12)/2)^2</f>
        <v>1.767144375</v>
      </c>
      <c r="Y22" s="53">
        <f t="shared" ref="Y22:Y25" si="101">R22</f>
        <v>5.2920000000000007</v>
      </c>
      <c r="Z22" s="56">
        <f t="shared" ref="Z22:Z24" si="102">(AF22^2*0.013^2)/(2.208*W22^(4/3))</f>
        <v>2.5392454908980738E-3</v>
      </c>
      <c r="AA22" s="39">
        <f t="shared" ref="AA22:AA25" si="103">Z22*E22</f>
        <v>0.14872360840190024</v>
      </c>
      <c r="AB22" s="39">
        <f t="shared" ref="AB22:AB23" si="104">AC22+AA22</f>
        <v>534.30748830146069</v>
      </c>
      <c r="AC22" s="39">
        <f>AD23</f>
        <v>534.15876469305874</v>
      </c>
      <c r="AD22" s="110">
        <f>AB22</f>
        <v>534.30748830146069</v>
      </c>
      <c r="AE22" s="39">
        <f>AF22</f>
        <v>2.9952244508118437</v>
      </c>
      <c r="AF22" s="39">
        <f t="shared" ref="AF22:AF24" si="105">R22/(((U22/12)/2)^2*3.141)</f>
        <v>2.9952244508118437</v>
      </c>
      <c r="AG22" s="39">
        <f t="shared" ref="AG22:AG24" si="106">(AE22^2)/64.4</f>
        <v>0.13930697998045202</v>
      </c>
      <c r="AH22" s="39">
        <f t="shared" ref="AH22:AH24" si="107">(AF22^2)/64.4</f>
        <v>0.13930697998045202</v>
      </c>
      <c r="AI22" s="39">
        <v>0.35</v>
      </c>
      <c r="AJ22" s="39">
        <f t="shared" ref="AJ22:AJ24" si="108">AI22*AG22</f>
        <v>4.8757442993158207E-2</v>
      </c>
      <c r="AK22" s="39">
        <f t="shared" ref="AK22:AK24" si="109">IF( (AH22-AJ22) &lt; 0,0,(AH22-AJ22))</f>
        <v>9.0549536987293816E-2</v>
      </c>
      <c r="AL22" s="39">
        <v>535.57000000000005</v>
      </c>
      <c r="AM22" s="109">
        <f>AL22-AD22</f>
        <v>1.2625116985393561</v>
      </c>
      <c r="AN22" s="135">
        <f t="shared" si="92"/>
        <v>531.50895000000003</v>
      </c>
      <c r="AO22" s="109">
        <f t="shared" si="83"/>
        <v>531.21609999999998</v>
      </c>
      <c r="AP22" s="48" t="s">
        <v>148</v>
      </c>
    </row>
    <row r="23" spans="2:47" ht="15.75" thickBot="1" x14ac:dyDescent="0.25">
      <c r="B23" s="52"/>
      <c r="C23" s="53">
        <v>213.22</v>
      </c>
      <c r="D23" s="53">
        <f t="shared" si="93"/>
        <v>106.95</v>
      </c>
      <c r="E23" s="39">
        <f t="shared" si="94"/>
        <v>106.27</v>
      </c>
      <c r="F23" s="39">
        <v>0</v>
      </c>
      <c r="G23" s="39">
        <f>F23</f>
        <v>0</v>
      </c>
      <c r="H23" s="39">
        <v>0.9</v>
      </c>
      <c r="I23" s="39">
        <f t="shared" si="95"/>
        <v>0</v>
      </c>
      <c r="J23" s="39">
        <f>I23</f>
        <v>0</v>
      </c>
      <c r="K23" s="54">
        <v>100</v>
      </c>
      <c r="L23" s="54">
        <v>10</v>
      </c>
      <c r="M23" s="54">
        <v>0</v>
      </c>
      <c r="N23" s="54">
        <f t="shared" si="96"/>
        <v>10</v>
      </c>
      <c r="O23" s="39">
        <v>9.8000000000000007</v>
      </c>
      <c r="P23" s="39">
        <f t="shared" si="24"/>
        <v>0</v>
      </c>
      <c r="Q23" s="54">
        <v>0</v>
      </c>
      <c r="R23" s="39">
        <f t="shared" si="97"/>
        <v>5.2920000000000007</v>
      </c>
      <c r="S23" s="54">
        <v>1</v>
      </c>
      <c r="T23" s="55" t="s">
        <v>55</v>
      </c>
      <c r="U23" s="112">
        <v>18</v>
      </c>
      <c r="V23" s="56">
        <f t="shared" si="98"/>
        <v>4.9999999999997642E-3</v>
      </c>
      <c r="W23" s="51">
        <f t="shared" si="99"/>
        <v>0.37500000000000006</v>
      </c>
      <c r="X23" s="51">
        <f t="shared" si="100"/>
        <v>1.767144375</v>
      </c>
      <c r="Y23" s="53">
        <f t="shared" si="101"/>
        <v>5.2920000000000007</v>
      </c>
      <c r="Z23" s="56">
        <f t="shared" si="102"/>
        <v>2.5392454908980738E-3</v>
      </c>
      <c r="AA23" s="39">
        <f t="shared" si="103"/>
        <v>0.26984561831773829</v>
      </c>
      <c r="AB23" s="39">
        <f t="shared" si="104"/>
        <v>534.06821515607146</v>
      </c>
      <c r="AC23" s="39">
        <f>AD24</f>
        <v>533.79836953775373</v>
      </c>
      <c r="AD23" s="110">
        <f t="shared" ref="AD23:AD25" si="110">IF(AK23&gt;0,AB23+AK23,AB23)</f>
        <v>534.15876469305874</v>
      </c>
      <c r="AE23" s="39">
        <f t="shared" ref="AE23" si="111">AF22</f>
        <v>2.9952244508118437</v>
      </c>
      <c r="AF23" s="39">
        <f t="shared" si="105"/>
        <v>2.9952244508118437</v>
      </c>
      <c r="AG23" s="39">
        <f t="shared" si="106"/>
        <v>0.13930697998045202</v>
      </c>
      <c r="AH23" s="39">
        <f t="shared" si="107"/>
        <v>0.13930697998045202</v>
      </c>
      <c r="AI23" s="39">
        <v>0.35</v>
      </c>
      <c r="AJ23" s="39">
        <f t="shared" si="108"/>
        <v>4.8757442993158207E-2</v>
      </c>
      <c r="AK23" s="39">
        <f t="shared" si="109"/>
        <v>9.0549536987293816E-2</v>
      </c>
      <c r="AL23" s="39">
        <v>536.9</v>
      </c>
      <c r="AM23" s="109">
        <f>AL23-AD23</f>
        <v>2.7412353069412347</v>
      </c>
      <c r="AN23" s="135">
        <f t="shared" si="92"/>
        <v>531.21609999999998</v>
      </c>
      <c r="AO23" s="109">
        <f t="shared" si="83"/>
        <v>530.68475000000001</v>
      </c>
      <c r="AP23" s="48" t="s">
        <v>148</v>
      </c>
    </row>
    <row r="24" spans="2:47" ht="15.75" thickBot="1" x14ac:dyDescent="0.25">
      <c r="B24" s="52"/>
      <c r="C24" s="53">
        <v>106.95</v>
      </c>
      <c r="D24" s="53">
        <f>C25</f>
        <v>23.09</v>
      </c>
      <c r="E24" s="39">
        <f t="shared" si="94"/>
        <v>83.86</v>
      </c>
      <c r="F24" s="39">
        <v>0.28000000000000003</v>
      </c>
      <c r="G24" s="39">
        <f t="shared" ref="G24" si="112">G23+F24</f>
        <v>0.28000000000000003</v>
      </c>
      <c r="H24" s="39">
        <v>0.9</v>
      </c>
      <c r="I24" s="39">
        <f t="shared" si="95"/>
        <v>0.25200000000000006</v>
      </c>
      <c r="J24" s="39">
        <f>J22+I24</f>
        <v>0.25200000000000006</v>
      </c>
      <c r="K24" s="54">
        <v>100</v>
      </c>
      <c r="L24" s="54">
        <v>10</v>
      </c>
      <c r="M24" s="54">
        <v>0</v>
      </c>
      <c r="N24" s="54">
        <f t="shared" si="96"/>
        <v>10</v>
      </c>
      <c r="O24" s="39">
        <v>9.8000000000000007</v>
      </c>
      <c r="P24" s="39">
        <f t="shared" si="24"/>
        <v>2.4696000000000007</v>
      </c>
      <c r="Q24" s="54">
        <v>0</v>
      </c>
      <c r="R24" s="39">
        <f t="shared" ref="R24:R25" si="113">P24+R23</f>
        <v>7.7616000000000014</v>
      </c>
      <c r="S24" s="54">
        <v>1</v>
      </c>
      <c r="T24" s="55" t="s">
        <v>55</v>
      </c>
      <c r="U24" s="112">
        <v>18</v>
      </c>
      <c r="V24" s="56">
        <f t="shared" si="98"/>
        <v>5.0000000000002516E-3</v>
      </c>
      <c r="W24" s="51">
        <f t="shared" si="99"/>
        <v>0.37500000000000006</v>
      </c>
      <c r="X24" s="51">
        <f t="shared" si="100"/>
        <v>1.767144375</v>
      </c>
      <c r="Y24" s="53">
        <f t="shared" si="101"/>
        <v>7.7616000000000014</v>
      </c>
      <c r="Z24" s="56">
        <f t="shared" si="102"/>
        <v>5.4621991893096349E-3</v>
      </c>
      <c r="AA24" s="39">
        <f t="shared" si="103"/>
        <v>0.458060024015506</v>
      </c>
      <c r="AB24" s="39">
        <f>AC24+AA24</f>
        <v>533.56835823525262</v>
      </c>
      <c r="AC24" s="39">
        <f>AD25</f>
        <v>533.11029821123714</v>
      </c>
      <c r="AD24" s="110">
        <f t="shared" si="110"/>
        <v>533.79836953775373</v>
      </c>
      <c r="AE24" s="39">
        <f>AF23</f>
        <v>2.9952244508118437</v>
      </c>
      <c r="AF24" s="39">
        <f t="shared" si="105"/>
        <v>4.3929958611907045</v>
      </c>
      <c r="AG24" s="39">
        <f t="shared" si="106"/>
        <v>0.13930697998045202</v>
      </c>
      <c r="AH24" s="39">
        <f t="shared" si="107"/>
        <v>0.29966479249128347</v>
      </c>
      <c r="AI24" s="39">
        <v>0.5</v>
      </c>
      <c r="AJ24" s="39">
        <f t="shared" si="108"/>
        <v>6.9653489990226011E-2</v>
      </c>
      <c r="AK24" s="39">
        <f t="shared" si="109"/>
        <v>0.23001130250105745</v>
      </c>
      <c r="AL24" s="39">
        <v>535.4</v>
      </c>
      <c r="AM24" s="109">
        <f>AL24-AD24</f>
        <v>1.6016304622462485</v>
      </c>
      <c r="AN24" s="135">
        <f t="shared" si="92"/>
        <v>530.68475000000001</v>
      </c>
      <c r="AO24" s="109">
        <f>AN25</f>
        <v>530.26544999999999</v>
      </c>
      <c r="AP24" s="48" t="s">
        <v>152</v>
      </c>
    </row>
    <row r="25" spans="2:47" ht="15.75" thickBot="1" x14ac:dyDescent="0.25">
      <c r="B25" s="127"/>
      <c r="C25" s="128">
        <v>23.09</v>
      </c>
      <c r="D25" s="128">
        <v>0</v>
      </c>
      <c r="E25" s="129">
        <f>C25-D25</f>
        <v>23.09</v>
      </c>
      <c r="F25" s="129">
        <v>0</v>
      </c>
      <c r="G25" s="129">
        <v>0</v>
      </c>
      <c r="H25" s="129">
        <v>0.9</v>
      </c>
      <c r="I25" s="129">
        <f t="shared" si="95"/>
        <v>0</v>
      </c>
      <c r="J25" s="129">
        <f t="shared" ref="J25" si="114">J24+I25</f>
        <v>0.25200000000000006</v>
      </c>
      <c r="K25" s="130">
        <v>100</v>
      </c>
      <c r="L25" s="130">
        <v>10</v>
      </c>
      <c r="M25" s="130">
        <v>0</v>
      </c>
      <c r="N25" s="130">
        <f t="shared" si="96"/>
        <v>10</v>
      </c>
      <c r="O25" s="129">
        <v>9.8000000000000007</v>
      </c>
      <c r="P25" s="129">
        <f t="shared" si="24"/>
        <v>0</v>
      </c>
      <c r="Q25" s="130">
        <v>0</v>
      </c>
      <c r="R25" s="129">
        <f t="shared" si="113"/>
        <v>7.7616000000000014</v>
      </c>
      <c r="S25" s="130">
        <v>1</v>
      </c>
      <c r="T25" s="131" t="s">
        <v>55</v>
      </c>
      <c r="U25" s="132">
        <v>18</v>
      </c>
      <c r="V25" s="133">
        <f t="shared" si="98"/>
        <v>5.0000000000004251E-3</v>
      </c>
      <c r="W25" s="134">
        <f t="shared" si="99"/>
        <v>0.37500000000000006</v>
      </c>
      <c r="X25" s="134">
        <f t="shared" si="100"/>
        <v>1.767144375</v>
      </c>
      <c r="Y25" s="128">
        <f t="shared" si="101"/>
        <v>7.7616000000000014</v>
      </c>
      <c r="Z25" s="133">
        <f>(AF25^2*0.013^2)/(2.208*W25^(4/3))</f>
        <v>5.6816058700075453E-3</v>
      </c>
      <c r="AA25" s="129">
        <f t="shared" si="103"/>
        <v>0.13118827953847423</v>
      </c>
      <c r="AB25" s="129">
        <f>AC25+AA25</f>
        <v>532.94842882125261</v>
      </c>
      <c r="AC25" s="129">
        <f>AD15</f>
        <v>532.81724054171411</v>
      </c>
      <c r="AD25" s="147">
        <f t="shared" si="110"/>
        <v>533.11029821123714</v>
      </c>
      <c r="AE25" s="39">
        <f>R25/(((U25/12)/2)^2*3.141)</f>
        <v>4.3929958611907045</v>
      </c>
      <c r="AF25" s="129">
        <f>AF15</f>
        <v>4.4803565743393827</v>
      </c>
      <c r="AG25" s="129">
        <f>(AE25^2)/64.4</f>
        <v>0.29966479249128347</v>
      </c>
      <c r="AH25" s="129">
        <f>(AF25^2)/64.4</f>
        <v>0.31170178623021938</v>
      </c>
      <c r="AI25" s="129">
        <v>0.5</v>
      </c>
      <c r="AJ25" s="129">
        <f>AI25*AG25</f>
        <v>0.14983239624564174</v>
      </c>
      <c r="AK25" s="129">
        <f>IF( (AH25-AJ25) &lt; 0,0,(AH25-AJ25))</f>
        <v>0.16186938998457764</v>
      </c>
      <c r="AL25" s="129">
        <v>534.6</v>
      </c>
      <c r="AM25" s="135">
        <f>AL25-AD25</f>
        <v>1.4897017887628863</v>
      </c>
      <c r="AN25" s="135">
        <f>AO25+((C25-D25)*0.005)</f>
        <v>530.26544999999999</v>
      </c>
      <c r="AO25" s="135">
        <v>530.15</v>
      </c>
      <c r="AP25" s="136" t="s">
        <v>151</v>
      </c>
    </row>
    <row r="61" spans="2:43" ht="15" thickBot="1" x14ac:dyDescent="0.25"/>
    <row r="62" spans="2:43" ht="18.75" thickBot="1" x14ac:dyDescent="0.3">
      <c r="B62" s="57" t="s">
        <v>7</v>
      </c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124"/>
      <c r="V62" s="38"/>
      <c r="W62" s="38"/>
      <c r="X62" s="38"/>
      <c r="Y62" s="38"/>
      <c r="Z62" s="38"/>
      <c r="AA62" s="38"/>
      <c r="AB62" s="38"/>
      <c r="AC62" s="38"/>
      <c r="AD62" s="124"/>
      <c r="AE62" s="38"/>
      <c r="AF62" s="38"/>
      <c r="AG62" s="38"/>
      <c r="AH62" s="38"/>
      <c r="AI62" s="38"/>
      <c r="AJ62" s="38"/>
      <c r="AK62" s="38"/>
      <c r="AL62" s="38"/>
      <c r="AM62" s="124"/>
      <c r="AN62" s="124"/>
      <c r="AO62" s="124"/>
      <c r="AP62" s="64"/>
      <c r="AQ62" s="64"/>
    </row>
    <row r="63" spans="2:43" ht="15.75" thickBot="1" x14ac:dyDescent="0.25">
      <c r="B63" s="52" t="s">
        <v>51</v>
      </c>
      <c r="C63" s="53">
        <v>257.33</v>
      </c>
      <c r="D63" s="53">
        <f>C64</f>
        <v>4</v>
      </c>
      <c r="E63" s="40">
        <f>C63-D63</f>
        <v>253.32999999999998</v>
      </c>
      <c r="F63" s="39" t="s">
        <v>55</v>
      </c>
      <c r="G63" s="39" t="s">
        <v>55</v>
      </c>
      <c r="H63" s="39" t="s">
        <v>55</v>
      </c>
      <c r="I63" s="39" t="s">
        <v>55</v>
      </c>
      <c r="J63" s="39" t="s">
        <v>55</v>
      </c>
      <c r="K63" s="39" t="s">
        <v>55</v>
      </c>
      <c r="L63" s="39" t="s">
        <v>55</v>
      </c>
      <c r="M63" s="39" t="s">
        <v>55</v>
      </c>
      <c r="N63" s="39" t="s">
        <v>55</v>
      </c>
      <c r="O63" s="39" t="s">
        <v>55</v>
      </c>
      <c r="P63" s="39">
        <v>24.57</v>
      </c>
      <c r="Q63" s="54">
        <v>0</v>
      </c>
      <c r="R63" s="39">
        <f t="shared" ref="R63:R64" si="115">P63</f>
        <v>24.57</v>
      </c>
      <c r="S63" s="54">
        <v>1</v>
      </c>
      <c r="T63" s="55" t="s">
        <v>55</v>
      </c>
      <c r="U63" s="112">
        <v>24</v>
      </c>
      <c r="V63" s="56">
        <f t="shared" ref="V63:V64" si="116">(AN63-AO63)/(E63)</f>
        <v>1.0500138159712952E-2</v>
      </c>
      <c r="W63" s="51">
        <f t="shared" ref="W63:W64" si="117">((((U63/12)/2)^2)*3.14159)/((U63/12)*3.14159)</f>
        <v>0.5</v>
      </c>
      <c r="X63" s="51">
        <f t="shared" ref="X63:X64" si="118">3.14159*((U63/12)/2)^2</f>
        <v>3.1415899999999999</v>
      </c>
      <c r="Y63" s="53">
        <f t="shared" ref="Y63:Y64" si="119">R63</f>
        <v>24.57</v>
      </c>
      <c r="Z63" s="46">
        <f>(AE63^2*0.013^2)/(2.208*W63^(4/3))</f>
        <v>1.1801450884490172E-2</v>
      </c>
      <c r="AA63" s="39">
        <f t="shared" ref="AA63:AA64" si="120">Z63*E63</f>
        <v>2.9896615525678949</v>
      </c>
      <c r="AB63" s="39">
        <f>AC63+AA63</f>
        <v>561.64759424741635</v>
      </c>
      <c r="AC63" s="39">
        <f>AD64</f>
        <v>558.65793269484845</v>
      </c>
      <c r="AD63" s="110">
        <f>IF(AK63&gt;0,AB63+AK63,AB63)</f>
        <v>563.07280743371484</v>
      </c>
      <c r="AE63" s="40">
        <f>R63/(((U63/12)/2)^2*3.141)</f>
        <v>7.822349570200573</v>
      </c>
      <c r="AF63" s="39">
        <f>AE64</f>
        <v>7.822349570200573</v>
      </c>
      <c r="AG63" s="40">
        <f>(AE63^2)/64.4</f>
        <v>0.95014212419902311</v>
      </c>
      <c r="AH63" s="39">
        <f t="shared" ref="AH63" si="121">(AF63^2)/64.4</f>
        <v>0.95014212419902311</v>
      </c>
      <c r="AI63" s="39">
        <v>1.5</v>
      </c>
      <c r="AJ63" s="39">
        <f>AI63*AG63</f>
        <v>1.4252131862985347</v>
      </c>
      <c r="AK63" s="39">
        <f>AJ63</f>
        <v>1.4252131862985347</v>
      </c>
      <c r="AL63" s="39">
        <v>566</v>
      </c>
      <c r="AM63" s="109">
        <f t="shared" ref="AM63:AM64" si="122">AL63-AD63</f>
        <v>2.9271925662851572</v>
      </c>
      <c r="AN63" s="109">
        <v>554.20000000000005</v>
      </c>
      <c r="AO63" s="109">
        <f>AN64</f>
        <v>551.54</v>
      </c>
      <c r="AP63" s="58" t="s">
        <v>65</v>
      </c>
      <c r="AQ63" s="58"/>
    </row>
    <row r="64" spans="2:43" ht="15.75" thickBot="1" x14ac:dyDescent="0.25">
      <c r="B64" s="42" t="s">
        <v>52</v>
      </c>
      <c r="C64" s="43">
        <v>4</v>
      </c>
      <c r="D64" s="43">
        <v>0</v>
      </c>
      <c r="E64" s="40">
        <f>C64-D64</f>
        <v>4</v>
      </c>
      <c r="F64" s="40" t="s">
        <v>55</v>
      </c>
      <c r="G64" s="40" t="s">
        <v>55</v>
      </c>
      <c r="H64" s="40" t="s">
        <v>55</v>
      </c>
      <c r="I64" s="40" t="s">
        <v>55</v>
      </c>
      <c r="J64" s="40" t="s">
        <v>55</v>
      </c>
      <c r="K64" s="40" t="s">
        <v>55</v>
      </c>
      <c r="L64" s="40" t="s">
        <v>55</v>
      </c>
      <c r="M64" s="40" t="s">
        <v>55</v>
      </c>
      <c r="N64" s="40" t="s">
        <v>55</v>
      </c>
      <c r="O64" s="40" t="s">
        <v>55</v>
      </c>
      <c r="P64" s="40">
        <v>24.57</v>
      </c>
      <c r="Q64" s="44">
        <v>0</v>
      </c>
      <c r="R64" s="40">
        <f t="shared" si="115"/>
        <v>24.57</v>
      </c>
      <c r="S64" s="44">
        <v>1</v>
      </c>
      <c r="T64" s="45" t="s">
        <v>55</v>
      </c>
      <c r="U64" s="125">
        <v>24</v>
      </c>
      <c r="V64" s="46">
        <f t="shared" si="116"/>
        <v>9.9999999999909051E-3</v>
      </c>
      <c r="W64" s="47">
        <f t="shared" si="117"/>
        <v>0.5</v>
      </c>
      <c r="X64" s="47">
        <f t="shared" si="118"/>
        <v>3.1415899999999999</v>
      </c>
      <c r="Y64" s="43">
        <f t="shared" si="119"/>
        <v>24.57</v>
      </c>
      <c r="Z64" s="46">
        <f>(AE64^2*0.013^2)/(2.208*W64^(4/3))</f>
        <v>1.1801450884490172E-2</v>
      </c>
      <c r="AA64" s="40">
        <f t="shared" si="120"/>
        <v>4.7205803537960687E-2</v>
      </c>
      <c r="AB64" s="40">
        <f>AC64+AA64</f>
        <v>558.47720580353791</v>
      </c>
      <c r="AC64" s="40">
        <v>558.42999999999995</v>
      </c>
      <c r="AD64" s="111">
        <f>AB64+AK64</f>
        <v>558.65793269484845</v>
      </c>
      <c r="AE64" s="40">
        <f>R64/(((U64/12)/2)^2*3.141)</f>
        <v>7.822349570200573</v>
      </c>
      <c r="AF64" s="40">
        <v>5.19</v>
      </c>
      <c r="AG64" s="40">
        <f>(AE64^2)/64.4</f>
        <v>0.95014212419902311</v>
      </c>
      <c r="AH64" s="40">
        <f>(AF64^2)/64.4</f>
        <v>0.41826242236024846</v>
      </c>
      <c r="AI64" s="40">
        <v>0.25</v>
      </c>
      <c r="AJ64" s="40">
        <f>AI64*AG64</f>
        <v>0.23753553104975578</v>
      </c>
      <c r="AK64" s="40">
        <f>AH64-AJ64</f>
        <v>0.18072689131049269</v>
      </c>
      <c r="AL64" s="40">
        <v>564.5</v>
      </c>
      <c r="AM64" s="119">
        <f t="shared" si="122"/>
        <v>5.842067305151545</v>
      </c>
      <c r="AN64" s="119">
        <v>551.54</v>
      </c>
      <c r="AO64" s="119">
        <v>551.5</v>
      </c>
      <c r="AP64" s="58" t="s">
        <v>64</v>
      </c>
      <c r="AQ64" s="58"/>
    </row>
  </sheetData>
  <mergeCells count="16">
    <mergeCell ref="B3:AP3"/>
    <mergeCell ref="B4:AP4"/>
    <mergeCell ref="AB5:AD5"/>
    <mergeCell ref="AE5:AF5"/>
    <mergeCell ref="AG5:AK5"/>
    <mergeCell ref="AL5:AO5"/>
    <mergeCell ref="AP5:AP7"/>
    <mergeCell ref="K5:O5"/>
    <mergeCell ref="P5:R5"/>
    <mergeCell ref="S5:Y5"/>
    <mergeCell ref="Z5:AA5"/>
    <mergeCell ref="B5:B6"/>
    <mergeCell ref="C5:C6"/>
    <mergeCell ref="D5:D6"/>
    <mergeCell ref="E5:E6"/>
    <mergeCell ref="F5:J5"/>
  </mergeCells>
  <pageMargins left="0" right="0" top="2.5" bottom="1" header="0.5" footer="0.5"/>
  <pageSetup paperSize="21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Proposed</vt:lpstr>
      <vt:lpstr>PROP DAM </vt:lpstr>
      <vt:lpstr>Inlet Calcs</vt:lpstr>
      <vt:lpstr>EXISTING DAM</vt:lpstr>
      <vt:lpstr>DAM(OLD)</vt:lpstr>
      <vt:lpstr>Proposed (OLD)</vt:lpstr>
      <vt:lpstr>'EXISTING DAM'!Print_Area</vt:lpstr>
      <vt:lpstr>'Inlet Calcs'!Print_Area</vt:lpstr>
      <vt:lpstr>Proposed!Print_Area</vt:lpstr>
      <vt:lpstr>'Proposed (OLD)'!Print_Area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Byron</dc:creator>
  <cp:lastModifiedBy>Engineer 4</cp:lastModifiedBy>
  <cp:lastPrinted>2016-06-17T18:54:14Z</cp:lastPrinted>
  <dcterms:created xsi:type="dcterms:W3CDTF">2012-10-29T21:10:23Z</dcterms:created>
  <dcterms:modified xsi:type="dcterms:W3CDTF">2016-09-01T14:07:55Z</dcterms:modified>
</cp:coreProperties>
</file>